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allen\OneDrive\Documents\Don Allen\Associations\AISI\COFS\STANDARDS\2020\"/>
    </mc:Choice>
  </mc:AlternateContent>
  <xr:revisionPtr revIDLastSave="0" documentId="8_{22725D6B-021C-48E1-81E3-671A8B501F7D}" xr6:coauthVersionLast="47" xr6:coauthVersionMax="47" xr10:uidLastSave="{00000000-0000-0000-0000-000000000000}"/>
  <bookViews>
    <workbookView xWindow="-108" yWindow="-108" windowWidth="23256" windowHeight="12456" xr2:uid="{EB6E4834-9C3E-4C28-89CC-39A4A4EB09FE}"/>
  </bookViews>
  <sheets>
    <sheet name="Wall Calculator" sheetId="1" r:id="rId1"/>
    <sheet name="Print Wall Results" sheetId="5" r:id="rId2"/>
    <sheet name="Conventional Roof Calculator" sheetId="4" r:id="rId3"/>
    <sheet name="Truss Roof Calculator" sheetId="6" r:id="rId4"/>
    <sheet name="S250 Tables" sheetId="2" state="hidden" r:id="rId5"/>
    <sheet name="Appendix 1 Tables" sheetId="7" state="hidden" r:id="rId6"/>
  </sheets>
  <definedNames>
    <definedName name="_xlnm.Print_Area" localSheetId="2">'Conventional Roof Calculator'!$A$1:$D$31</definedName>
    <definedName name="_xlnm.Print_Area" localSheetId="1">'Print Wall Results'!$A$1:$G$40</definedName>
    <definedName name="_xlnm.Print_Area" localSheetId="3">'Truss Roof Calculator'!$A$1:$C$29</definedName>
    <definedName name="_xlnm.Print_Area" localSheetId="0">'Wall Calculator'!$A$1:$F$71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1" l="1"/>
  <c r="N9" i="2"/>
  <c r="K11" i="2" a="1"/>
  <c r="K11" i="2" s="1"/>
  <c r="B8" i="7"/>
  <c r="C8" i="7"/>
  <c r="D8" i="7"/>
  <c r="E8" i="7"/>
  <c r="F8" i="7"/>
  <c r="G8" i="7"/>
  <c r="B9" i="7"/>
  <c r="C9" i="7"/>
  <c r="D9" i="7"/>
  <c r="E9" i="7"/>
  <c r="F9" i="7"/>
  <c r="G9" i="7"/>
  <c r="B10" i="7"/>
  <c r="C10" i="7"/>
  <c r="D10" i="7"/>
  <c r="E10" i="7"/>
  <c r="F10" i="7"/>
  <c r="G10" i="7"/>
  <c r="B11" i="7"/>
  <c r="C11" i="7"/>
  <c r="D11" i="7"/>
  <c r="E11" i="7"/>
  <c r="U11" i="7" s="1"/>
  <c r="V11" i="7" s="1"/>
  <c r="F11" i="7"/>
  <c r="G11" i="7"/>
  <c r="B12" i="7"/>
  <c r="C12" i="7"/>
  <c r="D12" i="7"/>
  <c r="E12" i="7"/>
  <c r="F12" i="7"/>
  <c r="G12" i="7"/>
  <c r="G7" i="7"/>
  <c r="F7" i="7"/>
  <c r="E7" i="7"/>
  <c r="D7" i="7"/>
  <c r="C7" i="7"/>
  <c r="B7" i="7"/>
  <c r="T9" i="7"/>
  <c r="T10" i="7"/>
  <c r="T11" i="7"/>
  <c r="T12" i="7"/>
  <c r="T7" i="7"/>
  <c r="T8" i="7"/>
  <c r="P8" i="7"/>
  <c r="Q8" i="7" s="1"/>
  <c r="P9" i="7"/>
  <c r="Q9" i="7" s="1"/>
  <c r="P10" i="7"/>
  <c r="Q10" i="7" s="1"/>
  <c r="P11" i="7"/>
  <c r="Q11" i="7" s="1"/>
  <c r="P12" i="7"/>
  <c r="Q12" i="7" s="1"/>
  <c r="L8" i="7"/>
  <c r="L9" i="7"/>
  <c r="L10" i="7"/>
  <c r="L11" i="7"/>
  <c r="L12" i="7"/>
  <c r="L7" i="7"/>
  <c r="O7" i="7"/>
  <c r="N7" i="7"/>
  <c r="M8" i="7"/>
  <c r="M9" i="7"/>
  <c r="M10" i="7"/>
  <c r="M11" i="7"/>
  <c r="M12" i="7"/>
  <c r="M7" i="7"/>
  <c r="L2" i="7"/>
  <c r="N9" i="7" s="1"/>
  <c r="O9" i="7" s="1"/>
  <c r="I12" i="7"/>
  <c r="J12" i="7" s="1"/>
  <c r="I11" i="7"/>
  <c r="J11" i="7" s="1"/>
  <c r="I10" i="7"/>
  <c r="J10" i="7" s="1"/>
  <c r="I9" i="7"/>
  <c r="J9" i="7" s="1"/>
  <c r="I8" i="7"/>
  <c r="J8" i="7" s="1"/>
  <c r="J7" i="7"/>
  <c r="D25" i="4"/>
  <c r="D26" i="4"/>
  <c r="K22" i="2"/>
  <c r="K26" i="2" s="1"/>
  <c r="B29" i="4" s="1"/>
  <c r="G26" i="2"/>
  <c r="H26" i="2" s="1"/>
  <c r="J24" i="2"/>
  <c r="I24" i="2"/>
  <c r="J23" i="2"/>
  <c r="I23" i="2"/>
  <c r="H24" i="2"/>
  <c r="H23" i="2"/>
  <c r="D28" i="4"/>
  <c r="B28" i="6"/>
  <c r="B29" i="6" s="1"/>
  <c r="B37" i="5"/>
  <c r="B36" i="5"/>
  <c r="B33" i="5"/>
  <c r="B15" i="5"/>
  <c r="B14" i="5"/>
  <c r="B13" i="5"/>
  <c r="B12" i="5"/>
  <c r="B11" i="5"/>
  <c r="B32" i="5"/>
  <c r="B31" i="5"/>
  <c r="B30" i="5"/>
  <c r="B29" i="5"/>
  <c r="B28" i="5"/>
  <c r="B22" i="5"/>
  <c r="B21" i="5"/>
  <c r="B25" i="5"/>
  <c r="B23" i="5"/>
  <c r="B22" i="1"/>
  <c r="B35" i="5" s="1"/>
  <c r="L16" i="2" l="1"/>
  <c r="U12" i="7"/>
  <c r="V12" i="7" s="1"/>
  <c r="U10" i="7"/>
  <c r="V10" i="7" s="1"/>
  <c r="U9" i="7"/>
  <c r="V9" i="7" s="1"/>
  <c r="U8" i="7"/>
  <c r="V8" i="7" s="1"/>
  <c r="M19" i="2"/>
  <c r="U7" i="7"/>
  <c r="V7" i="7" s="1"/>
  <c r="R9" i="7"/>
  <c r="S9" i="7" s="1"/>
  <c r="W9" i="7" s="1"/>
  <c r="N12" i="7"/>
  <c r="O12" i="7" s="1"/>
  <c r="R12" i="7" s="1"/>
  <c r="S12" i="7" s="1"/>
  <c r="W12" i="7" s="1"/>
  <c r="N8" i="7"/>
  <c r="O8" i="7" s="1"/>
  <c r="R8" i="7" s="1"/>
  <c r="S8" i="7" s="1"/>
  <c r="N11" i="7"/>
  <c r="O11" i="7" s="1"/>
  <c r="R11" i="7" s="1"/>
  <c r="S11" i="7" s="1"/>
  <c r="W11" i="7" s="1"/>
  <c r="N10" i="7"/>
  <c r="O10" i="7" s="1"/>
  <c r="R10" i="7" s="1"/>
  <c r="S10" i="7" s="1"/>
  <c r="W10" i="7" s="1"/>
  <c r="P7" i="7"/>
  <c r="Q7" i="7" s="1"/>
  <c r="R7" i="7" s="1"/>
  <c r="S7" i="7" s="1"/>
  <c r="B43" i="1"/>
  <c r="I26" i="2"/>
  <c r="J26" i="2"/>
  <c r="B24" i="5"/>
  <c r="B31" i="4"/>
  <c r="N16" i="2" l="1"/>
  <c r="S17" i="2" s="1"/>
  <c r="W8" i="7"/>
  <c r="P16" i="2"/>
  <c r="W7" i="7"/>
  <c r="S18" i="2" l="1"/>
  <c r="O18" i="2"/>
  <c r="R18" i="2"/>
  <c r="N18" i="2"/>
  <c r="Q18" i="2"/>
  <c r="P18" i="2"/>
  <c r="Q17" i="2"/>
  <c r="P17" i="2"/>
  <c r="N17" i="2"/>
  <c r="M17" i="2"/>
  <c r="R17" i="2"/>
  <c r="O17" i="2"/>
  <c r="T17" i="2"/>
  <c r="T18" i="2"/>
  <c r="M18" i="2"/>
  <c r="B29" i="1"/>
  <c r="B34" i="5" s="1"/>
  <c r="N19" i="2" l="1"/>
  <c r="B35" i="1" s="1"/>
  <c r="T19" i="2"/>
  <c r="B23" i="1" s="1"/>
  <c r="B45" i="1" s="1"/>
  <c r="B47" i="1" s="1"/>
  <c r="B48" i="1" s="1"/>
  <c r="P19" i="2"/>
  <c r="B37" i="1" s="1"/>
  <c r="O19" i="2"/>
  <c r="B36" i="1" s="1"/>
  <c r="R19" i="2"/>
  <c r="B39" i="1" s="1"/>
  <c r="Q19" i="2"/>
  <c r="B38" i="1" s="1"/>
  <c r="S19" i="2"/>
  <c r="B40" i="1" s="1"/>
  <c r="B55" i="1"/>
  <c r="B50" i="1"/>
  <c r="B51" i="1" s="1"/>
  <c r="B52" i="1" l="1"/>
  <c r="B54" i="1" s="1"/>
  <c r="B26" i="5"/>
  <c r="B30" i="1"/>
  <c r="B41" i="1" l="1"/>
  <c r="B57" i="1" s="1"/>
  <c r="B59" i="1" s="1"/>
  <c r="B4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<sst xmlns="http://schemas.openxmlformats.org/spreadsheetml/2006/main" count="295" uniqueCount="199">
  <si>
    <t xml:space="preserve">Table B3.1.1-1 OTZ Coefficients </t>
  </si>
  <si>
    <t>Member
Spacing (inches)</t>
  </si>
  <si>
    <t>Designation 
Thickness (mils)</t>
  </si>
  <si>
    <r>
      <t>C</t>
    </r>
    <r>
      <rPr>
        <vertAlign val="subscript"/>
        <sz val="10"/>
        <color theme="1"/>
        <rFont val="Franklin Gothic Book"/>
        <family val="2"/>
      </rPr>
      <t>0</t>
    </r>
  </si>
  <si>
    <r>
      <t>C</t>
    </r>
    <r>
      <rPr>
        <vertAlign val="subscript"/>
        <sz val="10"/>
        <color theme="1"/>
        <rFont val="Franklin Gothic Book"/>
        <family val="2"/>
      </rPr>
      <t>1</t>
    </r>
  </si>
  <si>
    <r>
      <t>C</t>
    </r>
    <r>
      <rPr>
        <vertAlign val="subscript"/>
        <sz val="10"/>
        <color theme="1"/>
        <rFont val="Franklin Gothic Book"/>
        <family val="2"/>
      </rPr>
      <t>2</t>
    </r>
  </si>
  <si>
    <r>
      <t>C</t>
    </r>
    <r>
      <rPr>
        <vertAlign val="subscript"/>
        <sz val="10"/>
        <color theme="1"/>
        <rFont val="Franklin Gothic Book"/>
        <family val="2"/>
      </rPr>
      <t>3</t>
    </r>
  </si>
  <si>
    <r>
      <t>C</t>
    </r>
    <r>
      <rPr>
        <vertAlign val="subscript"/>
        <sz val="10"/>
        <color theme="1"/>
        <rFont val="Franklin Gothic Book"/>
        <family val="2"/>
      </rPr>
      <t>4</t>
    </r>
  </si>
  <si>
    <r>
      <t>C</t>
    </r>
    <r>
      <rPr>
        <vertAlign val="subscript"/>
        <sz val="10"/>
        <color theme="1"/>
        <rFont val="Franklin Gothic Book"/>
        <family val="2"/>
      </rPr>
      <t>5</t>
    </r>
  </si>
  <si>
    <t>Table B3.1.3-1 Cold-Formed Steel Thermal Conductivity</t>
  </si>
  <si>
    <t>Designation 
Thickness (mil)</t>
  </si>
  <si>
    <t>Thermal 
Conductivity (k) (Btu/h.ft2.oF)</t>
  </si>
  <si>
    <t>Table B4.1-1 Fc Values for Roof/Ceiling Assemblies with Joist Framing</t>
  </si>
  <si>
    <t>Thermal Resistance (R-value) of insulation between joists</t>
  </si>
  <si>
    <t>Joist Spacing</t>
  </si>
  <si>
    <t>Joist Depth</t>
  </si>
  <si>
    <t>3.5 to 4</t>
  </si>
  <si>
    <t>Input:</t>
  </si>
  <si>
    <t>600S162-43</t>
  </si>
  <si>
    <t>in.</t>
  </si>
  <si>
    <t>Calculations:</t>
  </si>
  <si>
    <t>Eq. B3.1.3-1</t>
  </si>
  <si>
    <t>Eq. B3.1.2-1</t>
  </si>
  <si>
    <t>Eq. B3.1.4-1</t>
  </si>
  <si>
    <t>Overall thermal zone (OTZ):</t>
  </si>
  <si>
    <t>Eq. B3.1.1-1</t>
  </si>
  <si>
    <t>Table B3.1.3-1</t>
  </si>
  <si>
    <t>Eq. B3.1.3-2</t>
  </si>
  <si>
    <t>Eq. B3.1.3-3</t>
  </si>
  <si>
    <t>Eq. B3.1.4-2</t>
  </si>
  <si>
    <t>Eq. B3.1.5-1</t>
  </si>
  <si>
    <t>Eq. B3.1.6-1</t>
  </si>
  <si>
    <t>Eq. B3.1.6-2</t>
  </si>
  <si>
    <t>Eq. B3.1.7-1</t>
  </si>
  <si>
    <t>Eq. B3.1.8-1</t>
  </si>
  <si>
    <t>Mils</t>
  </si>
  <si>
    <t>Eq. B4.1-1</t>
  </si>
  <si>
    <t>Eq. B4.2-1 to B4.2-3</t>
  </si>
  <si>
    <t>Joist spacing:</t>
  </si>
  <si>
    <t>Joist depth:</t>
  </si>
  <si>
    <t xml:space="preserve"> </t>
  </si>
  <si>
    <t>Thermal conductivity (k):</t>
  </si>
  <si>
    <t>This is an example for joist &amp; rafter framing</t>
  </si>
  <si>
    <t>(Green cells for input of values. All other cells are locked from access.)</t>
  </si>
  <si>
    <r>
      <t>h.ft</t>
    </r>
    <r>
      <rPr>
        <vertAlign val="superscript"/>
        <sz val="9"/>
        <color theme="1"/>
        <rFont val="Franklin Gothic Book"/>
        <family val="2"/>
      </rPr>
      <t>2</t>
    </r>
    <r>
      <rPr>
        <sz val="9"/>
        <color theme="1"/>
        <rFont val="Franklin Gothic Book"/>
        <family val="2"/>
      </rPr>
      <t>F/Btu</t>
    </r>
  </si>
  <si>
    <r>
      <t>h.ft</t>
    </r>
    <r>
      <rPr>
        <vertAlign val="superscript"/>
        <sz val="10"/>
        <color theme="1"/>
        <rFont val="Franklin Gothic Book"/>
        <family val="2"/>
      </rPr>
      <t>2</t>
    </r>
    <r>
      <rPr>
        <sz val="10"/>
        <color theme="1"/>
        <rFont val="Franklin Gothic Book"/>
        <family val="2"/>
      </rPr>
      <t>F/Btu</t>
    </r>
  </si>
  <si>
    <r>
      <t>Foam insulation (Input: "</t>
    </r>
    <r>
      <rPr>
        <b/>
        <sz val="11"/>
        <color theme="1"/>
        <rFont val="Franklin Gothic Book"/>
        <family val="2"/>
      </rPr>
      <t>No</t>
    </r>
    <r>
      <rPr>
        <sz val="11"/>
        <color theme="1"/>
        <rFont val="Franklin Gothic Book"/>
        <family val="2"/>
      </rPr>
      <t>" for no foam insulation, or "</t>
    </r>
    <r>
      <rPr>
        <b/>
        <sz val="11"/>
        <color theme="1"/>
        <rFont val="Franklin Gothic Book"/>
        <family val="2"/>
      </rPr>
      <t>R-3</t>
    </r>
    <r>
      <rPr>
        <sz val="11"/>
        <color theme="1"/>
        <rFont val="Franklin Gothic Book"/>
        <family val="2"/>
      </rPr>
      <t>" or "</t>
    </r>
    <r>
      <rPr>
        <b/>
        <sz val="11"/>
        <color theme="1"/>
        <rFont val="Franklin Gothic Book"/>
        <family val="2"/>
      </rPr>
      <t>R-5</t>
    </r>
    <r>
      <rPr>
        <sz val="11"/>
        <color theme="1"/>
        <rFont val="Franklin Gothic Book"/>
        <family val="2"/>
      </rPr>
      <t>" with foam insulation):</t>
    </r>
  </si>
  <si>
    <r>
      <t>U-factor (U</t>
    </r>
    <r>
      <rPr>
        <vertAlign val="subscript"/>
        <sz val="11"/>
        <color theme="1"/>
        <rFont val="Franklin Gothic Book"/>
        <family val="2"/>
      </rPr>
      <t>r</t>
    </r>
    <r>
      <rPr>
        <sz val="11"/>
        <color theme="1"/>
        <rFont val="Franklin Gothic Book"/>
        <family val="2"/>
      </rPr>
      <t>):</t>
    </r>
  </si>
  <si>
    <r>
      <rPr>
        <b/>
        <sz val="10"/>
        <color theme="1"/>
        <rFont val="Franklin Gothic Book"/>
        <family val="2"/>
      </rPr>
      <t>Note</t>
    </r>
    <r>
      <rPr>
        <sz val="10"/>
        <color theme="1"/>
        <rFont val="Franklin Gothic Book"/>
        <family val="2"/>
      </rPr>
      <t>, other than "R-3" or "R-5", 0.33 is used.</t>
    </r>
  </si>
  <si>
    <r>
      <t>U-factor (U</t>
    </r>
    <r>
      <rPr>
        <vertAlign val="subscript"/>
        <sz val="11"/>
        <color theme="1"/>
        <rFont val="Franklin Gothic Book"/>
        <family val="2"/>
      </rPr>
      <t>t</t>
    </r>
    <r>
      <rPr>
        <sz val="11"/>
        <color theme="1"/>
        <rFont val="Franklin Gothic Book"/>
        <family val="2"/>
      </rPr>
      <t>):</t>
    </r>
  </si>
  <si>
    <t>Note: All the calculations are based on AISI S250-21.</t>
  </si>
  <si>
    <t xml:space="preserve">Note: The following calculations follow the requirements in AISI S250-21. </t>
  </si>
  <si>
    <r>
      <t>Btu/h.ft</t>
    </r>
    <r>
      <rPr>
        <vertAlign val="superscript"/>
        <sz val="9"/>
        <color theme="1"/>
        <rFont val="Franklin Gothic Book"/>
        <family val="2"/>
      </rPr>
      <t>2</t>
    </r>
    <r>
      <rPr>
        <sz val="9"/>
        <color theme="1"/>
        <rFont val="Franklin Gothic Book"/>
        <family val="2"/>
      </rPr>
      <t>F</t>
    </r>
  </si>
  <si>
    <t>(Green cells for input of values. All other cells are locked.)</t>
  </si>
  <si>
    <t>Date of Estimation:</t>
  </si>
  <si>
    <t>Individual Name:</t>
  </si>
  <si>
    <t>Company Name and Address:</t>
  </si>
  <si>
    <t>Project Name:</t>
  </si>
  <si>
    <t>Project Location:</t>
  </si>
  <si>
    <t>with Standard C-Shapes</t>
  </si>
  <si>
    <t xml:space="preserve">Please refer AISI S250-21 for additional requirements. </t>
  </si>
  <si>
    <t>H. Chen</t>
  </si>
  <si>
    <t>AISI, Washington DC</t>
  </si>
  <si>
    <t>Test program</t>
  </si>
  <si>
    <t>Washington, DC</t>
  </si>
  <si>
    <t>Description - Cold-formed steel</t>
  </si>
  <si>
    <t>Value</t>
  </si>
  <si>
    <t>Units</t>
  </si>
  <si>
    <t>C-shape designation</t>
  </si>
  <si>
    <t>Spacing of framing members (FS)</t>
  </si>
  <si>
    <t>Conductivity value (k)</t>
  </si>
  <si>
    <t xml:space="preserve">Web depth </t>
  </si>
  <si>
    <r>
      <t>Air film - Outside (R</t>
    </r>
    <r>
      <rPr>
        <vertAlign val="subscript"/>
        <sz val="10"/>
        <color theme="1"/>
        <rFont val="Franklin Gothic Book"/>
        <family val="2"/>
      </rPr>
      <t>o</t>
    </r>
    <r>
      <rPr>
        <sz val="10"/>
        <color theme="1"/>
        <rFont val="Franklin Gothic Book"/>
        <family val="2"/>
      </rPr>
      <t>)</t>
    </r>
  </si>
  <si>
    <r>
      <t>Siding (Side</t>
    </r>
    <r>
      <rPr>
        <vertAlign val="subscript"/>
        <sz val="10"/>
        <color theme="1"/>
        <rFont val="Franklin Gothic Book"/>
        <family val="2"/>
      </rPr>
      <t>ext</t>
    </r>
    <r>
      <rPr>
        <sz val="10"/>
        <color theme="1"/>
        <rFont val="Franklin Gothic Book"/>
        <family val="2"/>
      </rPr>
      <t>)</t>
    </r>
  </si>
  <si>
    <r>
      <t>Continuous insulation (R</t>
    </r>
    <r>
      <rPr>
        <vertAlign val="subscript"/>
        <sz val="10"/>
        <color theme="1"/>
        <rFont val="Franklin Gothic Book"/>
        <family val="2"/>
      </rPr>
      <t>she</t>
    </r>
    <r>
      <rPr>
        <sz val="10"/>
        <color theme="1"/>
        <rFont val="Franklin Gothic Book"/>
        <family val="2"/>
      </rPr>
      <t>)</t>
    </r>
  </si>
  <si>
    <r>
      <t>Cavity insulation (R</t>
    </r>
    <r>
      <rPr>
        <vertAlign val="subscript"/>
        <sz val="10"/>
        <color theme="1"/>
        <rFont val="Franklin Gothic Book"/>
        <family val="2"/>
      </rPr>
      <t>ins</t>
    </r>
    <r>
      <rPr>
        <sz val="10"/>
        <color theme="1"/>
        <rFont val="Franklin Gothic Book"/>
        <family val="2"/>
      </rPr>
      <t>)</t>
    </r>
  </si>
  <si>
    <r>
      <t>Depth of cavity insulation in contact with cold-formed steel web (CFS</t>
    </r>
    <r>
      <rPr>
        <vertAlign val="subscript"/>
        <sz val="10"/>
        <color theme="1"/>
        <rFont val="Franklin Gothic Book"/>
        <family val="2"/>
      </rPr>
      <t>depth</t>
    </r>
    <r>
      <rPr>
        <sz val="10"/>
        <color theme="1"/>
        <rFont val="Franklin Gothic Book"/>
        <family val="2"/>
      </rPr>
      <t>)</t>
    </r>
  </si>
  <si>
    <r>
      <t>Cavity air space if present (R</t>
    </r>
    <r>
      <rPr>
        <vertAlign val="subscript"/>
        <sz val="10"/>
        <color theme="1"/>
        <rFont val="Franklin Gothic Book"/>
        <family val="2"/>
      </rPr>
      <t>air</t>
    </r>
    <r>
      <rPr>
        <sz val="10"/>
        <color theme="1"/>
        <rFont val="Franklin Gothic Book"/>
        <family val="2"/>
      </rPr>
      <t>)</t>
    </r>
  </si>
  <si>
    <r>
      <t>Dept of cavity air space (CFS</t>
    </r>
    <r>
      <rPr>
        <vertAlign val="subscript"/>
        <sz val="10"/>
        <color theme="1"/>
        <rFont val="Franklin Gothic Book"/>
        <family val="2"/>
      </rPr>
      <t>webairspace</t>
    </r>
    <r>
      <rPr>
        <sz val="10"/>
        <color theme="1"/>
        <rFont val="Franklin Gothic Book"/>
        <family val="2"/>
      </rPr>
      <t>)</t>
    </r>
  </si>
  <si>
    <r>
      <t>Air film - inside (R</t>
    </r>
    <r>
      <rPr>
        <vertAlign val="subscript"/>
        <sz val="10"/>
        <color theme="1"/>
        <rFont val="Franklin Gothic Book"/>
        <family val="2"/>
      </rPr>
      <t>i</t>
    </r>
    <r>
      <rPr>
        <sz val="10"/>
        <color theme="1"/>
        <rFont val="Franklin Gothic Book"/>
        <family val="2"/>
      </rPr>
      <t>)</t>
    </r>
  </si>
  <si>
    <t>Calculated results:</t>
  </si>
  <si>
    <r>
      <t>Overall thermal transmittance (U</t>
    </r>
    <r>
      <rPr>
        <vertAlign val="subscript"/>
        <sz val="11"/>
        <color theme="1"/>
        <rFont val="Calibri"/>
        <family val="2"/>
        <scheme val="minor"/>
      </rPr>
      <t>o</t>
    </r>
    <r>
      <rPr>
        <sz val="11"/>
        <color theme="1"/>
        <rFont val="Calibri"/>
        <family val="2"/>
        <scheme val="minor"/>
      </rPr>
      <t>)</t>
    </r>
  </si>
  <si>
    <r>
      <t>Flange width (CFS</t>
    </r>
    <r>
      <rPr>
        <vertAlign val="subscript"/>
        <sz val="10"/>
        <color theme="1"/>
        <rFont val="Franklin Gothic Book"/>
        <family val="2"/>
      </rPr>
      <t>flange</t>
    </r>
    <r>
      <rPr>
        <sz val="10"/>
        <color theme="1"/>
        <rFont val="Franklin Gothic Book"/>
        <family val="2"/>
      </rPr>
      <t>)</t>
    </r>
  </si>
  <si>
    <t>Project Description:</t>
  </si>
  <si>
    <t xml:space="preserve">Note: All the calculations and requirements are based on AISI S250-21. </t>
  </si>
  <si>
    <r>
      <t>R-roof/ceiling components along heat transfer path,excluding steel &amp; cavity inslation (R</t>
    </r>
    <r>
      <rPr>
        <vertAlign val="subscript"/>
        <sz val="11"/>
        <color theme="1"/>
        <rFont val="Franklin Gothic Book"/>
        <family val="2"/>
      </rPr>
      <t>s-roof</t>
    </r>
    <r>
      <rPr>
        <sz val="11"/>
        <color theme="1"/>
        <rFont val="Franklin Gothic Book"/>
        <family val="2"/>
      </rPr>
      <t>):</t>
    </r>
  </si>
  <si>
    <r>
      <t>R-insulation between ceiling joists (R</t>
    </r>
    <r>
      <rPr>
        <vertAlign val="subscript"/>
        <sz val="11"/>
        <color theme="1"/>
        <rFont val="Franklin Gothic Book"/>
        <family val="2"/>
      </rPr>
      <t>ins</t>
    </r>
    <r>
      <rPr>
        <sz val="11"/>
        <color theme="1"/>
        <rFont val="Franklin Gothic Book"/>
        <family val="2"/>
      </rPr>
      <t>):</t>
    </r>
  </si>
  <si>
    <t>Values</t>
  </si>
  <si>
    <t xml:space="preserve">S250-21 Eq. </t>
  </si>
  <si>
    <t>Check Limit</t>
  </si>
  <si>
    <t>16"</t>
  </si>
  <si>
    <t>Depth</t>
  </si>
  <si>
    <t>24"</t>
  </si>
  <si>
    <r>
      <t>Correction factor (F</t>
    </r>
    <r>
      <rPr>
        <vertAlign val="subscript"/>
        <sz val="11"/>
        <color theme="1"/>
        <rFont val="Franklin Gothic Book"/>
        <family val="2"/>
      </rPr>
      <t>c</t>
    </r>
    <r>
      <rPr>
        <sz val="11"/>
        <color theme="1"/>
        <rFont val="Franklin Gothic Book"/>
        <family val="2"/>
      </rPr>
      <t>) (Calculated per Table B4.1-1):</t>
    </r>
  </si>
  <si>
    <t>Vaue</t>
  </si>
  <si>
    <r>
      <t>Flange width (CFS</t>
    </r>
    <r>
      <rPr>
        <vertAlign val="subscript"/>
        <sz val="12"/>
        <color theme="1"/>
        <rFont val="Franklin Gothic Book"/>
        <family val="2"/>
      </rPr>
      <t>flange</t>
    </r>
    <r>
      <rPr>
        <sz val="12"/>
        <color theme="1"/>
        <rFont val="Franklin Gothic Book"/>
        <family val="2"/>
      </rPr>
      <t>):</t>
    </r>
  </si>
  <si>
    <r>
      <t>CFS</t>
    </r>
    <r>
      <rPr>
        <vertAlign val="subscript"/>
        <sz val="12"/>
        <color theme="1"/>
        <rFont val="Franklin Gothic Book"/>
        <family val="2"/>
      </rPr>
      <t>webairspace</t>
    </r>
    <r>
      <rPr>
        <sz val="12"/>
        <color theme="1"/>
        <rFont val="Franklin Gothic Book"/>
        <family val="2"/>
      </rPr>
      <t>:</t>
    </r>
  </si>
  <si>
    <r>
      <t>R-air film outside (R</t>
    </r>
    <r>
      <rPr>
        <vertAlign val="subscript"/>
        <sz val="12"/>
        <color theme="1"/>
        <rFont val="Franklin Gothic Book"/>
        <family val="2"/>
      </rPr>
      <t>0</t>
    </r>
    <r>
      <rPr>
        <sz val="12"/>
        <color theme="1"/>
        <rFont val="Franklin Gothic Book"/>
        <family val="2"/>
      </rPr>
      <t>):</t>
    </r>
  </si>
  <si>
    <r>
      <t>R-siding (Side</t>
    </r>
    <r>
      <rPr>
        <vertAlign val="subscript"/>
        <sz val="12"/>
        <color theme="1"/>
        <rFont val="Franklin Gothic Book"/>
        <family val="2"/>
      </rPr>
      <t>ext</t>
    </r>
    <r>
      <rPr>
        <sz val="12"/>
        <color theme="1"/>
        <rFont val="Franklin Gothic Book"/>
        <family val="2"/>
      </rPr>
      <t>):</t>
    </r>
  </si>
  <si>
    <r>
      <t>R-continuous insulation (R</t>
    </r>
    <r>
      <rPr>
        <vertAlign val="subscript"/>
        <sz val="12"/>
        <color theme="1"/>
        <rFont val="Franklin Gothic Book"/>
        <family val="2"/>
      </rPr>
      <t>she</t>
    </r>
    <r>
      <rPr>
        <sz val="12"/>
        <color theme="1"/>
        <rFont val="Franklin Gothic Book"/>
        <family val="2"/>
      </rPr>
      <t>):</t>
    </r>
  </si>
  <si>
    <r>
      <t>R-all exterior sheathings (Sheath</t>
    </r>
    <r>
      <rPr>
        <vertAlign val="subscript"/>
        <sz val="12"/>
        <color theme="1"/>
        <rFont val="Franklin Gothic Book"/>
        <family val="2"/>
      </rPr>
      <t>ext</t>
    </r>
    <r>
      <rPr>
        <sz val="12"/>
        <color theme="1"/>
        <rFont val="Franklin Gothic Book"/>
        <family val="2"/>
      </rPr>
      <t>):</t>
    </r>
  </si>
  <si>
    <r>
      <t>R-cavity insulation (R</t>
    </r>
    <r>
      <rPr>
        <vertAlign val="subscript"/>
        <sz val="12"/>
        <color theme="1"/>
        <rFont val="Franklin Gothic Book"/>
        <family val="2"/>
      </rPr>
      <t>ins</t>
    </r>
    <r>
      <rPr>
        <sz val="12"/>
        <color theme="1"/>
        <rFont val="Franklin Gothic Book"/>
        <family val="2"/>
      </rPr>
      <t>):</t>
    </r>
  </si>
  <si>
    <r>
      <t>R-air space (R</t>
    </r>
    <r>
      <rPr>
        <vertAlign val="subscript"/>
        <sz val="12"/>
        <color theme="1"/>
        <rFont val="Franklin Gothic Book"/>
        <family val="2"/>
      </rPr>
      <t>air</t>
    </r>
    <r>
      <rPr>
        <sz val="12"/>
        <color theme="1"/>
        <rFont val="Franklin Gothic Book"/>
        <family val="2"/>
      </rPr>
      <t xml:space="preserve">): </t>
    </r>
  </si>
  <si>
    <r>
      <t>R-cavity (R</t>
    </r>
    <r>
      <rPr>
        <vertAlign val="subscript"/>
        <sz val="12"/>
        <color theme="1"/>
        <rFont val="Franklin Gothic Book"/>
        <family val="2"/>
      </rPr>
      <t xml:space="preserve">cav </t>
    </r>
    <r>
      <rPr>
        <sz val="12"/>
        <color theme="1"/>
        <rFont val="Franklin Gothic Book"/>
        <family val="2"/>
      </rPr>
      <t>= R</t>
    </r>
    <r>
      <rPr>
        <vertAlign val="subscript"/>
        <sz val="12"/>
        <color theme="1"/>
        <rFont val="Franklin Gothic Book"/>
        <family val="2"/>
      </rPr>
      <t>ins</t>
    </r>
    <r>
      <rPr>
        <sz val="12"/>
        <color theme="1"/>
        <rFont val="Franklin Gothic Book"/>
        <family val="2"/>
      </rPr>
      <t xml:space="preserve"> + R</t>
    </r>
    <r>
      <rPr>
        <vertAlign val="subscript"/>
        <sz val="12"/>
        <color theme="1"/>
        <rFont val="Franklin Gothic Book"/>
        <family val="2"/>
      </rPr>
      <t>air</t>
    </r>
    <r>
      <rPr>
        <sz val="12"/>
        <color theme="1"/>
        <rFont val="Franklin Gothic Book"/>
        <family val="2"/>
      </rPr>
      <t>):</t>
    </r>
  </si>
  <si>
    <r>
      <t>R-air film inside (R</t>
    </r>
    <r>
      <rPr>
        <vertAlign val="subscript"/>
        <sz val="12"/>
        <color theme="1"/>
        <rFont val="Franklin Gothic Book"/>
        <family val="2"/>
      </rPr>
      <t>i</t>
    </r>
    <r>
      <rPr>
        <sz val="12"/>
        <color theme="1"/>
        <rFont val="Franklin Gothic Book"/>
        <family val="2"/>
      </rPr>
      <t>):</t>
    </r>
  </si>
  <si>
    <r>
      <t>C</t>
    </r>
    <r>
      <rPr>
        <vertAlign val="subscript"/>
        <sz val="12"/>
        <color theme="1"/>
        <rFont val="Franklin Gothic Book"/>
        <family val="2"/>
      </rPr>
      <t>0</t>
    </r>
    <r>
      <rPr>
        <sz val="12"/>
        <color theme="1"/>
        <rFont val="Franklin Gothic Book"/>
        <family val="2"/>
      </rPr>
      <t>:</t>
    </r>
  </si>
  <si>
    <r>
      <t>C</t>
    </r>
    <r>
      <rPr>
        <vertAlign val="subscript"/>
        <sz val="12"/>
        <color theme="1"/>
        <rFont val="Franklin Gothic Book"/>
        <family val="2"/>
      </rPr>
      <t>1</t>
    </r>
    <r>
      <rPr>
        <sz val="12"/>
        <color theme="1"/>
        <rFont val="Franklin Gothic Book"/>
        <family val="2"/>
      </rPr>
      <t>:</t>
    </r>
  </si>
  <si>
    <r>
      <t>C</t>
    </r>
    <r>
      <rPr>
        <vertAlign val="subscript"/>
        <sz val="12"/>
        <color theme="1"/>
        <rFont val="Franklin Gothic Book"/>
        <family val="2"/>
      </rPr>
      <t>2</t>
    </r>
    <r>
      <rPr>
        <sz val="12"/>
        <color theme="1"/>
        <rFont val="Franklin Gothic Book"/>
        <family val="2"/>
      </rPr>
      <t>:</t>
    </r>
  </si>
  <si>
    <r>
      <t>C</t>
    </r>
    <r>
      <rPr>
        <vertAlign val="subscript"/>
        <sz val="12"/>
        <color theme="1"/>
        <rFont val="Franklin Gothic Book"/>
        <family val="2"/>
      </rPr>
      <t>3</t>
    </r>
    <r>
      <rPr>
        <sz val="12"/>
        <color theme="1"/>
        <rFont val="Franklin Gothic Book"/>
        <family val="2"/>
      </rPr>
      <t>:</t>
    </r>
  </si>
  <si>
    <r>
      <t>C</t>
    </r>
    <r>
      <rPr>
        <vertAlign val="subscript"/>
        <sz val="12"/>
        <color theme="1"/>
        <rFont val="Franklin Gothic Book"/>
        <family val="2"/>
      </rPr>
      <t>4</t>
    </r>
    <r>
      <rPr>
        <sz val="12"/>
        <color theme="1"/>
        <rFont val="Franklin Gothic Book"/>
        <family val="2"/>
      </rPr>
      <t>:</t>
    </r>
  </si>
  <si>
    <r>
      <t>C</t>
    </r>
    <r>
      <rPr>
        <vertAlign val="subscript"/>
        <sz val="12"/>
        <color theme="1"/>
        <rFont val="Franklin Gothic Book"/>
        <family val="2"/>
      </rPr>
      <t>5</t>
    </r>
    <r>
      <rPr>
        <sz val="12"/>
        <color theme="1"/>
        <rFont val="Franklin Gothic Book"/>
        <family val="2"/>
      </rPr>
      <t>:</t>
    </r>
  </si>
  <si>
    <r>
      <t>Framing factor (FF</t>
    </r>
    <r>
      <rPr>
        <vertAlign val="subscript"/>
        <sz val="12"/>
        <color theme="1"/>
        <rFont val="Franklin Gothic Book"/>
        <family val="2"/>
      </rPr>
      <t>cs</t>
    </r>
    <r>
      <rPr>
        <sz val="12"/>
        <color theme="1"/>
        <rFont val="Franklin Gothic Book"/>
        <family val="2"/>
      </rPr>
      <t>):</t>
    </r>
  </si>
  <si>
    <r>
      <t>R-web of CFS member (R</t>
    </r>
    <r>
      <rPr>
        <vertAlign val="subscript"/>
        <sz val="12"/>
        <color theme="1"/>
        <rFont val="Franklin Gothic Book"/>
        <family val="2"/>
      </rPr>
      <t>s-wall</t>
    </r>
    <r>
      <rPr>
        <sz val="12"/>
        <color theme="1"/>
        <rFont val="Franklin Gothic Book"/>
        <family val="2"/>
      </rPr>
      <t>):</t>
    </r>
  </si>
  <si>
    <r>
      <t>U</t>
    </r>
    <r>
      <rPr>
        <vertAlign val="subscript"/>
        <sz val="12"/>
        <color theme="1"/>
        <rFont val="Franklin Gothic Book"/>
        <family val="2"/>
      </rPr>
      <t>1</t>
    </r>
    <r>
      <rPr>
        <sz val="12"/>
        <color theme="1"/>
        <rFont val="Franklin Gothic Book"/>
        <family val="2"/>
      </rPr>
      <t>:</t>
    </r>
  </si>
  <si>
    <r>
      <t>R</t>
    </r>
    <r>
      <rPr>
        <vertAlign val="subscript"/>
        <sz val="12"/>
        <color theme="1"/>
        <rFont val="Franklin Gothic Book"/>
        <family val="2"/>
      </rPr>
      <t>1</t>
    </r>
    <r>
      <rPr>
        <sz val="12"/>
        <color theme="1"/>
        <rFont val="Franklin Gothic Book"/>
        <family val="2"/>
      </rPr>
      <t>:</t>
    </r>
  </si>
  <si>
    <r>
      <t>R of cavity air space (R</t>
    </r>
    <r>
      <rPr>
        <vertAlign val="subscript"/>
        <sz val="12"/>
        <color theme="1"/>
        <rFont val="Franklin Gothic Book"/>
        <family val="2"/>
      </rPr>
      <t>air</t>
    </r>
    <r>
      <rPr>
        <sz val="12"/>
        <color theme="1"/>
        <rFont val="Franklin Gothic Book"/>
        <family val="2"/>
      </rPr>
      <t>):</t>
    </r>
  </si>
  <si>
    <r>
      <t>U</t>
    </r>
    <r>
      <rPr>
        <vertAlign val="subscript"/>
        <sz val="12"/>
        <color theme="1"/>
        <rFont val="Franklin Gothic Book"/>
        <family val="2"/>
      </rPr>
      <t>2</t>
    </r>
    <r>
      <rPr>
        <sz val="12"/>
        <color theme="1"/>
        <rFont val="Franklin Gothic Book"/>
        <family val="2"/>
      </rPr>
      <t>:</t>
    </r>
  </si>
  <si>
    <r>
      <t>R</t>
    </r>
    <r>
      <rPr>
        <vertAlign val="subscript"/>
        <sz val="12"/>
        <color theme="1"/>
        <rFont val="Franklin Gothic Book"/>
        <family val="2"/>
      </rPr>
      <t>2</t>
    </r>
    <r>
      <rPr>
        <sz val="12"/>
        <color theme="1"/>
        <rFont val="Franklin Gothic Book"/>
        <family val="2"/>
      </rPr>
      <t>:</t>
    </r>
  </si>
  <si>
    <r>
      <t>R</t>
    </r>
    <r>
      <rPr>
        <vertAlign val="subscript"/>
        <sz val="12"/>
        <color theme="1"/>
        <rFont val="Franklin Gothic Book"/>
        <family val="2"/>
      </rPr>
      <t>3</t>
    </r>
    <r>
      <rPr>
        <sz val="12"/>
        <color theme="1"/>
        <rFont val="Franklin Gothic Book"/>
        <family val="2"/>
      </rPr>
      <t>:</t>
    </r>
  </si>
  <si>
    <r>
      <t>R-C-shape path (R</t>
    </r>
    <r>
      <rPr>
        <vertAlign val="subscript"/>
        <sz val="12"/>
        <color theme="1"/>
        <rFont val="Franklin Gothic Book"/>
        <family val="2"/>
      </rPr>
      <t>sps</t>
    </r>
    <r>
      <rPr>
        <sz val="12"/>
        <color theme="1"/>
        <rFont val="Franklin Gothic Book"/>
        <family val="2"/>
      </rPr>
      <t>):</t>
    </r>
  </si>
  <si>
    <r>
      <t>R-cavity path(R</t>
    </r>
    <r>
      <rPr>
        <vertAlign val="subscript"/>
        <sz val="12"/>
        <color theme="1"/>
        <rFont val="Franklin Gothic Book"/>
        <family val="2"/>
      </rPr>
      <t>spc</t>
    </r>
    <r>
      <rPr>
        <sz val="12"/>
        <color theme="1"/>
        <rFont val="Franklin Gothic Book"/>
        <family val="2"/>
      </rPr>
      <t>):</t>
    </r>
  </si>
  <si>
    <r>
      <t>OTZ framing factor (FF</t>
    </r>
    <r>
      <rPr>
        <vertAlign val="subscript"/>
        <sz val="12"/>
        <color theme="1"/>
        <rFont val="Franklin Gothic Book"/>
        <family val="2"/>
      </rPr>
      <t>otz</t>
    </r>
    <r>
      <rPr>
        <sz val="12"/>
        <color theme="1"/>
        <rFont val="Franklin Gothic Book"/>
        <family val="2"/>
      </rPr>
      <t>):</t>
    </r>
  </si>
  <si>
    <r>
      <t>Overall thermal transmittance (U</t>
    </r>
    <r>
      <rPr>
        <b/>
        <vertAlign val="subscript"/>
        <sz val="12"/>
        <color theme="1"/>
        <rFont val="Franklin Gothic Book"/>
        <family val="2"/>
      </rPr>
      <t>o</t>
    </r>
    <r>
      <rPr>
        <b/>
        <sz val="12"/>
        <color theme="1"/>
        <rFont val="Franklin Gothic Book"/>
        <family val="2"/>
      </rPr>
      <t>):</t>
    </r>
  </si>
  <si>
    <r>
      <t>Btu/h.ft</t>
    </r>
    <r>
      <rPr>
        <vertAlign val="superscript"/>
        <sz val="10"/>
        <color theme="1"/>
        <rFont val="Franklin Gothic Book"/>
        <family val="2"/>
      </rPr>
      <t>2</t>
    </r>
    <r>
      <rPr>
        <sz val="10"/>
        <color theme="1"/>
        <rFont val="Franklin Gothic Book"/>
        <family val="2"/>
      </rPr>
      <t>F</t>
    </r>
  </si>
  <si>
    <t xml:space="preserve">Table1-1(a) Framing Spacing = </t>
  </si>
  <si>
    <r>
      <t>CFS</t>
    </r>
    <r>
      <rPr>
        <vertAlign val="subscript"/>
        <sz val="11"/>
        <color theme="1"/>
        <rFont val="Calibri"/>
        <family val="2"/>
        <scheme val="minor"/>
      </rPr>
      <t>depth</t>
    </r>
  </si>
  <si>
    <t>k=</t>
  </si>
  <si>
    <t>Ro=</t>
  </si>
  <si>
    <t>in</t>
  </si>
  <si>
    <t>WebDepth</t>
  </si>
  <si>
    <r>
      <t>CFS</t>
    </r>
    <r>
      <rPr>
        <vertAlign val="subscript"/>
        <sz val="11"/>
        <color theme="1"/>
        <rFont val="Calibri"/>
        <family val="2"/>
        <scheme val="minor"/>
      </rPr>
      <t>webairDepth</t>
    </r>
  </si>
  <si>
    <r>
      <t>R</t>
    </r>
    <r>
      <rPr>
        <vertAlign val="subscript"/>
        <sz val="11"/>
        <color theme="1"/>
        <rFont val="Calibri"/>
        <family val="2"/>
        <scheme val="minor"/>
      </rPr>
      <t>cav</t>
    </r>
  </si>
  <si>
    <t>C0</t>
  </si>
  <si>
    <t>C1</t>
  </si>
  <si>
    <t>C2</t>
  </si>
  <si>
    <t>C3</t>
  </si>
  <si>
    <t>C4</t>
  </si>
  <si>
    <t>C5</t>
  </si>
  <si>
    <t>Spacing</t>
  </si>
  <si>
    <t>t(Mils)</t>
  </si>
  <si>
    <r>
      <t>R</t>
    </r>
    <r>
      <rPr>
        <vertAlign val="subscript"/>
        <sz val="11"/>
        <color theme="1"/>
        <rFont val="Calibri"/>
        <family val="2"/>
        <scheme val="minor"/>
      </rPr>
      <t>ins</t>
    </r>
  </si>
  <si>
    <r>
      <t>CFS</t>
    </r>
    <r>
      <rPr>
        <vertAlign val="subscript"/>
        <sz val="11"/>
        <color theme="9" tint="-0.249977111117893"/>
        <rFont val="Calibri"/>
        <family val="2"/>
        <scheme val="minor"/>
      </rPr>
      <t>flange</t>
    </r>
    <r>
      <rPr>
        <sz val="11"/>
        <color theme="9" tint="-0.249977111117893"/>
        <rFont val="Calibri"/>
        <family val="2"/>
        <scheme val="minor"/>
      </rPr>
      <t>=</t>
    </r>
  </si>
  <si>
    <r>
      <t>CFS</t>
    </r>
    <r>
      <rPr>
        <vertAlign val="subscript"/>
        <sz val="11"/>
        <color theme="9" tint="-0.249977111117893"/>
        <rFont val="Calibri"/>
        <family val="2"/>
        <scheme val="minor"/>
      </rPr>
      <t>t</t>
    </r>
    <r>
      <rPr>
        <sz val="11"/>
        <color theme="9" tint="-0.249977111117893"/>
        <rFont val="Calibri"/>
        <family val="2"/>
        <scheme val="minor"/>
      </rPr>
      <t>=</t>
    </r>
  </si>
  <si>
    <r>
      <t>Sheath</t>
    </r>
    <r>
      <rPr>
        <vertAlign val="subscript"/>
        <sz val="11"/>
        <color theme="9" tint="-0.249977111117893"/>
        <rFont val="Calibri"/>
        <family val="2"/>
        <scheme val="minor"/>
      </rPr>
      <t>ext</t>
    </r>
    <r>
      <rPr>
        <sz val="11"/>
        <color theme="9" tint="-0.249977111117893"/>
        <rFont val="Calibri"/>
        <family val="2"/>
        <scheme val="minor"/>
      </rPr>
      <t>=</t>
    </r>
  </si>
  <si>
    <r>
      <t>btu/h.ft</t>
    </r>
    <r>
      <rPr>
        <vertAlign val="superscript"/>
        <sz val="11"/>
        <color theme="9" tint="-0.249977111117893"/>
        <rFont val="Calibri"/>
        <family val="2"/>
        <scheme val="minor"/>
      </rPr>
      <t>2</t>
    </r>
    <r>
      <rPr>
        <sz val="11"/>
        <color theme="9" tint="-0.249977111117893"/>
        <rFont val="Calibri"/>
        <family val="2"/>
        <scheme val="minor"/>
      </rPr>
      <t>f</t>
    </r>
  </si>
  <si>
    <r>
      <t>Side</t>
    </r>
    <r>
      <rPr>
        <vertAlign val="subscript"/>
        <sz val="11"/>
        <color theme="9" tint="-0.249977111117893"/>
        <rFont val="Calibri"/>
        <family val="2"/>
        <scheme val="minor"/>
      </rPr>
      <t>ext</t>
    </r>
    <r>
      <rPr>
        <sz val="11"/>
        <color theme="9" tint="-0.249977111117893"/>
        <rFont val="Calibri"/>
        <family val="2"/>
        <scheme val="minor"/>
      </rPr>
      <t>=</t>
    </r>
  </si>
  <si>
    <r>
      <t>Sheath</t>
    </r>
    <r>
      <rPr>
        <vertAlign val="subscript"/>
        <sz val="11"/>
        <color theme="9" tint="-0.249977111117893"/>
        <rFont val="Calibri"/>
        <family val="2"/>
        <scheme val="minor"/>
      </rPr>
      <t>int</t>
    </r>
    <r>
      <rPr>
        <sz val="11"/>
        <color theme="9" tint="-0.249977111117893"/>
        <rFont val="Calibri"/>
        <family val="2"/>
        <scheme val="minor"/>
      </rPr>
      <t>=</t>
    </r>
  </si>
  <si>
    <r>
      <t>FF</t>
    </r>
    <r>
      <rPr>
        <vertAlign val="subscript"/>
        <sz val="11"/>
        <color theme="1"/>
        <rFont val="Calibri"/>
        <family val="2"/>
        <scheme val="minor"/>
      </rPr>
      <t>CS</t>
    </r>
    <r>
      <rPr>
        <sz val="11"/>
        <color theme="1"/>
        <rFont val="Calibri"/>
        <family val="2"/>
        <scheme val="minor"/>
      </rPr>
      <t>=</t>
    </r>
  </si>
  <si>
    <r>
      <t>R</t>
    </r>
    <r>
      <rPr>
        <vertAlign val="subscript"/>
        <sz val="11"/>
        <color theme="1"/>
        <rFont val="Calibri"/>
        <family val="2"/>
        <scheme val="minor"/>
      </rPr>
      <t>s-wall</t>
    </r>
  </si>
  <si>
    <t>OTZ</t>
  </si>
  <si>
    <t>U1</t>
  </si>
  <si>
    <t>R1</t>
  </si>
  <si>
    <t>U2</t>
  </si>
  <si>
    <r>
      <t>R</t>
    </r>
    <r>
      <rPr>
        <vertAlign val="subscript"/>
        <sz val="11"/>
        <color theme="9" tint="-0.249977111117893"/>
        <rFont val="Calibri"/>
        <family val="2"/>
        <scheme val="minor"/>
      </rPr>
      <t>air</t>
    </r>
    <r>
      <rPr>
        <sz val="11"/>
        <color theme="9" tint="-0.249977111117893"/>
        <rFont val="Calibri"/>
        <family val="2"/>
        <scheme val="minor"/>
      </rPr>
      <t>=</t>
    </r>
  </si>
  <si>
    <t>R2</t>
  </si>
  <si>
    <t>R3</t>
  </si>
  <si>
    <r>
      <t>R</t>
    </r>
    <r>
      <rPr>
        <vertAlign val="subscript"/>
        <sz val="11"/>
        <color theme="1"/>
        <rFont val="Calibri"/>
        <family val="2"/>
        <scheme val="minor"/>
      </rPr>
      <t>she</t>
    </r>
    <r>
      <rPr>
        <sz val="11"/>
        <color theme="1"/>
        <rFont val="Calibri"/>
        <family val="2"/>
        <scheme val="minor"/>
      </rPr>
      <t>=</t>
    </r>
  </si>
  <si>
    <r>
      <t>R</t>
    </r>
    <r>
      <rPr>
        <vertAlign val="subscript"/>
        <sz val="11"/>
        <color theme="9" tint="-0.249977111117893"/>
        <rFont val="Calibri"/>
        <family val="2"/>
        <scheme val="minor"/>
      </rPr>
      <t>i</t>
    </r>
    <r>
      <rPr>
        <sz val="11"/>
        <color theme="9" tint="-0.249977111117893"/>
        <rFont val="Calibri"/>
        <family val="2"/>
        <scheme val="minor"/>
      </rPr>
      <t>=</t>
    </r>
  </si>
  <si>
    <r>
      <t>R</t>
    </r>
    <r>
      <rPr>
        <vertAlign val="subscript"/>
        <sz val="11"/>
        <color theme="1"/>
        <rFont val="Calibri"/>
        <family val="2"/>
        <scheme val="minor"/>
      </rPr>
      <t>spc</t>
    </r>
  </si>
  <si>
    <r>
      <t>R</t>
    </r>
    <r>
      <rPr>
        <vertAlign val="subscript"/>
        <sz val="11"/>
        <color theme="1"/>
        <rFont val="Calibri"/>
        <family val="2"/>
        <scheme val="minor"/>
      </rPr>
      <t>sps</t>
    </r>
  </si>
  <si>
    <r>
      <t>FF</t>
    </r>
    <r>
      <rPr>
        <vertAlign val="subscript"/>
        <sz val="11"/>
        <color theme="1"/>
        <rFont val="Calibri"/>
        <family val="2"/>
        <scheme val="minor"/>
      </rPr>
      <t>otz</t>
    </r>
  </si>
  <si>
    <r>
      <t>U</t>
    </r>
    <r>
      <rPr>
        <vertAlign val="subscript"/>
        <sz val="11"/>
        <color theme="1"/>
        <rFont val="Calibri"/>
        <family val="2"/>
        <scheme val="minor"/>
      </rPr>
      <t>o</t>
    </r>
  </si>
  <si>
    <t>Designation thickness:</t>
  </si>
  <si>
    <t>Stud overall depth:</t>
  </si>
  <si>
    <t>Spacing of framing members (FS):</t>
  </si>
  <si>
    <t>spacing</t>
  </si>
  <si>
    <t>thickness</t>
  </si>
  <si>
    <t>desigThick=</t>
  </si>
  <si>
    <t>t1=</t>
  </si>
  <si>
    <t>t2=</t>
  </si>
  <si>
    <t>Conductivity</t>
  </si>
  <si>
    <t>H.Chen</t>
  </si>
  <si>
    <r>
      <t>&amp; CFS</t>
    </r>
    <r>
      <rPr>
        <b/>
        <vertAlign val="subscript"/>
        <sz val="12"/>
        <color theme="1"/>
        <rFont val="Franklin Gothic Book"/>
        <family val="2"/>
      </rPr>
      <t>webairspace</t>
    </r>
    <r>
      <rPr>
        <b/>
        <sz val="12"/>
        <color theme="1"/>
        <rFont val="Franklin Gothic Book"/>
        <family val="2"/>
      </rPr>
      <t>:</t>
    </r>
  </si>
  <si>
    <t xml:space="preserve">AISI S250-21 Determination of Thermal Transmittance of Wall Assemblies </t>
  </si>
  <si>
    <t xml:space="preserve">This estimation tool is for determining the thermal transmittance of walls containing </t>
  </si>
  <si>
    <t xml:space="preserve">standard C-shapes and tracks with spacings of 6", 12", 16", and 24" o.c.. </t>
  </si>
  <si>
    <t>C-shape designation:</t>
  </si>
  <si>
    <r>
      <t>Web depth in contact w/ cavity
insulation (CFS</t>
    </r>
    <r>
      <rPr>
        <vertAlign val="subscript"/>
        <sz val="12"/>
        <color theme="1"/>
        <rFont val="Franklin Gothic Book"/>
        <family val="2"/>
      </rPr>
      <t>depth</t>
    </r>
    <r>
      <rPr>
        <sz val="12"/>
        <color theme="1"/>
        <rFont val="Franklin Gothic Book"/>
        <family val="2"/>
      </rPr>
      <t>):</t>
    </r>
  </si>
  <si>
    <r>
      <t>R-all interior sheathings (Sheath</t>
    </r>
    <r>
      <rPr>
        <vertAlign val="subscript"/>
        <sz val="12"/>
        <color theme="1"/>
        <rFont val="Franklin Gothic Book"/>
        <family val="2"/>
      </rPr>
      <t>int</t>
    </r>
    <r>
      <rPr>
        <sz val="12"/>
        <color theme="1"/>
        <rFont val="Franklin Gothic Book"/>
        <family val="2"/>
      </rPr>
      <t>):</t>
    </r>
  </si>
  <si>
    <r>
      <t>Illustration of CFS</t>
    </r>
    <r>
      <rPr>
        <b/>
        <vertAlign val="subscript"/>
        <sz val="12"/>
        <color theme="1"/>
        <rFont val="Franklin Gothic Book"/>
        <family val="2"/>
      </rPr>
      <t xml:space="preserve">depth </t>
    </r>
  </si>
  <si>
    <t>AISI S250-21 Determination of Thermal Transmittance of Wall Assemblies with Standard C-Shapes</t>
  </si>
  <si>
    <t>This estimation tool is for determining the thermal transmittance of walls containing standard C-shapes</t>
  </si>
  <si>
    <t xml:space="preserve"> and tracks with spacings of 6", 12", 16", and 24" o.c.. Please refer AISI S250-21 for additional requirements. </t>
  </si>
  <si>
    <t>Designation thickness</t>
  </si>
  <si>
    <t>Description - Wall assembly components</t>
  </si>
  <si>
    <r>
      <t>All exterior sheathings (Sheath</t>
    </r>
    <r>
      <rPr>
        <vertAlign val="subscript"/>
        <sz val="10"/>
        <color theme="1"/>
        <rFont val="Franklin Gothic Book"/>
        <family val="2"/>
      </rPr>
      <t>ext</t>
    </r>
    <r>
      <rPr>
        <sz val="10"/>
        <color theme="1"/>
        <rFont val="Franklin Gothic Book"/>
        <family val="2"/>
      </rPr>
      <t>)</t>
    </r>
  </si>
  <si>
    <r>
      <t>All interior sheathings (Sheath</t>
    </r>
    <r>
      <rPr>
        <vertAlign val="subscript"/>
        <sz val="10"/>
        <color theme="1"/>
        <rFont val="Franklin Gothic Book"/>
        <family val="2"/>
      </rPr>
      <t>int</t>
    </r>
    <r>
      <rPr>
        <sz val="10"/>
        <color theme="1"/>
        <rFont val="Franklin Gothic Book"/>
        <family val="2"/>
      </rPr>
      <t>)</t>
    </r>
  </si>
  <si>
    <t>AISI S250-21 Determination of Thermal Transmittance of Conventional Roof Framing</t>
  </si>
  <si>
    <t>This calculator is for determining the thermal transmittance of joist and rafter roof framing.</t>
  </si>
  <si>
    <t>Project description:</t>
  </si>
  <si>
    <t>AISI S250-21 Determination of Thermal Transmittance of Roof/Ceiling Framing</t>
  </si>
  <si>
    <r>
      <t>R-cavity insulation (R</t>
    </r>
    <r>
      <rPr>
        <vertAlign val="subscript"/>
        <sz val="11"/>
        <color theme="1"/>
        <rFont val="Franklin Gothic Book"/>
        <family val="2"/>
      </rPr>
      <t>ins</t>
    </r>
    <r>
      <rPr>
        <sz val="11"/>
        <color theme="1"/>
        <rFont val="Franklin Gothic Book"/>
        <family val="2"/>
      </rPr>
      <t>) at bottom chord members:</t>
    </r>
  </si>
  <si>
    <t>Coefficient:</t>
  </si>
  <si>
    <t>Linear interpolation intermediate steps for obtaining Fc:</t>
  </si>
  <si>
    <t>Interpolation of C0-C5</t>
  </si>
  <si>
    <t>Interpolation:</t>
  </si>
  <si>
    <t>This is a test</t>
  </si>
  <si>
    <t>This calculator is for determining the thermal transmittance of C-shape roof truss framing.</t>
  </si>
  <si>
    <t>R-5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</si>
</sst>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00"/>
    <numFmt numFmtId="166" formatCode="0.0000"/>
  </numFmts>
  <fonts count="33" x14ac:knownFonts="1">
    <font>
      <sz val="11"/>
      <color theme="1"/>
      <name val="Calibri"/>
      <family val="2"/>
      <scheme val="minor"/>
    </font>
    <font>
      <b/>
      <sz val="11"/>
      <color theme="1"/>
      <name val="Calibri"/>
      <family val="2"/>
      <scheme val="minor"/>
    </font>
    <font>
      <sz val="10"/>
      <color theme="1"/>
      <name val="Calibri"/>
      <family val="2"/>
      <scheme val="minor"/>
    </font>
    <font>
      <sz val="10"/>
      <color theme="1"/>
      <name val="Franklin Gothic Book"/>
      <family val="2"/>
    </font>
    <font>
      <vertAlign val="subscript"/>
      <sz val="10"/>
      <color theme="1"/>
      <name val="Franklin Gothic Book"/>
      <family val="2"/>
    </font>
    <font>
      <b/>
      <sz val="10"/>
      <color theme="1"/>
      <name val="Calibri"/>
      <family val="2"/>
      <scheme val="minor"/>
    </font>
    <font>
      <sz val="11"/>
      <color theme="1"/>
      <name val="Franklin Gothic Demi"/>
      <family val="2"/>
    </font>
    <font>
      <sz val="10"/>
      <color rgb="FF000000"/>
      <name val="Franklin Gothic Book"/>
      <family val="2"/>
    </font>
    <font>
      <sz val="11"/>
      <color rgb="FF006600"/>
      <name val="Calibri"/>
      <family val="2"/>
      <scheme val="minor"/>
    </font>
    <font>
      <sz val="11"/>
      <color theme="1"/>
      <name val="Franklin Gothic Book"/>
      <family val="2"/>
    </font>
    <font>
      <b/>
      <sz val="10"/>
      <color rgb="FF006600"/>
      <name val="Franklin Gothic Book"/>
      <family val="2"/>
    </font>
    <font>
      <b/>
      <sz val="11"/>
      <color theme="1"/>
      <name val="Franklin Gothic Book"/>
      <family val="2"/>
    </font>
    <font>
      <vertAlign val="subscript"/>
      <sz val="11"/>
      <color theme="1"/>
      <name val="Franklin Gothic Book"/>
      <family val="2"/>
    </font>
    <font>
      <b/>
      <sz val="10"/>
      <color theme="1"/>
      <name val="Franklin Gothic Book"/>
      <family val="2"/>
    </font>
    <font>
      <sz val="9"/>
      <color theme="1"/>
      <name val="Franklin Gothic Book"/>
      <family val="2"/>
    </font>
    <font>
      <vertAlign val="superscript"/>
      <sz val="9"/>
      <color theme="1"/>
      <name val="Franklin Gothic Book"/>
      <family val="2"/>
    </font>
    <font>
      <vertAlign val="superscript"/>
      <sz val="10"/>
      <color theme="1"/>
      <name val="Franklin Gothic Book"/>
      <family val="2"/>
    </font>
    <font>
      <sz val="10"/>
      <color theme="1"/>
      <name val="Franklin Gothic Demi"/>
      <family val="2"/>
    </font>
    <font>
      <sz val="9"/>
      <color theme="1"/>
      <name val="Calibri"/>
      <family val="2"/>
      <scheme val="minor"/>
    </font>
    <font>
      <vertAlign val="subscript"/>
      <sz val="11"/>
      <color theme="1"/>
      <name val="Calibri"/>
      <family val="2"/>
      <scheme val="minor"/>
    </font>
    <font>
      <sz val="12"/>
      <color theme="1"/>
      <name val="Franklin Gothic Demi"/>
      <family val="2"/>
    </font>
    <font>
      <sz val="12"/>
      <color theme="1"/>
      <name val="Calibri"/>
      <family val="2"/>
      <scheme val="minor"/>
    </font>
    <font>
      <sz val="12"/>
      <color theme="1"/>
      <name val="Franklin Gothic Book"/>
      <family val="2"/>
    </font>
    <font>
      <b/>
      <sz val="12"/>
      <color theme="1"/>
      <name val="Calibri"/>
      <family val="2"/>
      <scheme val="minor"/>
    </font>
    <font>
      <b/>
      <sz val="12"/>
      <color theme="1"/>
      <name val="Franklin Gothic Book"/>
      <family val="2"/>
    </font>
    <font>
      <b/>
      <sz val="12"/>
      <color rgb="FF006600"/>
      <name val="Franklin Gothic Book"/>
      <family val="2"/>
    </font>
    <font>
      <b/>
      <vertAlign val="subscript"/>
      <sz val="12"/>
      <color theme="1"/>
      <name val="Franklin Gothic Book"/>
      <family val="2"/>
    </font>
    <font>
      <vertAlign val="subscript"/>
      <sz val="12"/>
      <color theme="1"/>
      <name val="Franklin Gothic Book"/>
      <family val="2"/>
    </font>
    <font>
      <sz val="11"/>
      <color theme="9" tint="-0.249977111117893"/>
      <name val="Calibri"/>
      <family val="2"/>
      <scheme val="minor"/>
    </font>
    <font>
      <vertAlign val="subscript"/>
      <sz val="11"/>
      <color theme="9" tint="-0.249977111117893"/>
      <name val="Calibri"/>
      <family val="2"/>
      <scheme val="minor"/>
    </font>
    <font>
      <vertAlign val="superscript"/>
      <sz val="11"/>
      <color theme="9" tint="-0.249977111117893"/>
      <name val="Calibri"/>
      <family val="2"/>
      <scheme val="minor"/>
    </font>
    <font>
      <sz val="12"/>
      <color rgb="FFFF0000"/>
      <name val="Franklin Gothic Book"/>
      <family val="2"/>
    </font>
    <font>
      <b/>
      <sz val="9"/>
      <color theme="1"/>
      <name val="Calibri"/>
      <family val="2"/>
      <scheme val="minor"/>
    </font>
  </fonts>
  <fills count="3">
    <fill>
      <patternFill patternType="none"/>
    </fill>
    <fill>
      <patternFill patternType="gray125"/>
    </fill>
    <fill>
      <patternFill patternType="solid">
        <fgColor rgb="FF92D05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7">
    <xf numFmtId="0" fontId="0" fillId="0" borderId="0" xfId="0"/>
    <xf numFmtId="0" fontId="0" fillId="0" borderId="0" xfId="0" applyAlignment="1">
      <alignment horizontal="right"/>
    </xf>
    <xf numFmtId="0" fontId="0" fillId="0" borderId="7" xfId="0" applyBorder="1"/>
    <xf numFmtId="0" fontId="1" fillId="0" borderId="0" xfId="0" applyFont="1"/>
    <xf numFmtId="0" fontId="6" fillId="0" borderId="0" xfId="0" applyFont="1"/>
    <xf numFmtId="0" fontId="8" fillId="0" borderId="0" xfId="0" applyFont="1"/>
    <xf numFmtId="0" fontId="2" fillId="0" borderId="0" xfId="0" applyFont="1"/>
    <xf numFmtId="0" fontId="3" fillId="0" borderId="4" xfId="0" applyFont="1" applyBorder="1" applyAlignment="1">
      <alignment horizontal="center" wrapText="1"/>
    </xf>
    <xf numFmtId="0" fontId="3" fillId="0" borderId="0" xfId="0" applyFont="1" applyAlignment="1">
      <alignment horizontal="center" wrapText="1"/>
    </xf>
    <xf numFmtId="0" fontId="3" fillId="0" borderId="0" xfId="0" applyFont="1" applyAlignment="1">
      <alignment horizontal="center"/>
    </xf>
    <xf numFmtId="0" fontId="3" fillId="0" borderId="5" xfId="0" applyFont="1" applyBorder="1" applyAlignment="1">
      <alignment horizontal="center"/>
    </xf>
    <xf numFmtId="0" fontId="3" fillId="0" borderId="0" xfId="0" applyFont="1"/>
    <xf numFmtId="0" fontId="5" fillId="0" borderId="4" xfId="0" applyFont="1" applyBorder="1" applyAlignment="1">
      <alignment horizontal="center" wrapText="1"/>
    </xf>
    <xf numFmtId="0" fontId="5" fillId="0" borderId="0" xfId="0" applyFont="1" applyAlignment="1">
      <alignment horizontal="center" wrapText="1"/>
    </xf>
    <xf numFmtId="0" fontId="5" fillId="0" borderId="5" xfId="0" applyFont="1" applyBorder="1" applyAlignment="1">
      <alignment horizontal="center" wrapText="1"/>
    </xf>
    <xf numFmtId="0" fontId="0" fillId="0" borderId="4" xfId="0" applyBorder="1"/>
    <xf numFmtId="0" fontId="0" fillId="0" borderId="5" xfId="0" applyBorder="1"/>
    <xf numFmtId="0" fontId="0" fillId="0" borderId="6" xfId="0" applyBorder="1"/>
    <xf numFmtId="0" fontId="0" fillId="0" borderId="8" xfId="0" applyBorder="1"/>
    <xf numFmtId="0" fontId="0" fillId="0" borderId="4" xfId="0" applyBorder="1" applyAlignment="1">
      <alignment wrapText="1"/>
    </xf>
    <xf numFmtId="0" fontId="0" fillId="0" borderId="0" xfId="0" applyAlignment="1">
      <alignment wrapText="1"/>
    </xf>
    <xf numFmtId="0" fontId="0" fillId="0" borderId="4" xfId="0" applyBorder="1" applyAlignment="1">
      <alignment horizontal="center" wrapText="1"/>
    </xf>
    <xf numFmtId="0" fontId="0" fillId="0" borderId="5" xfId="0" applyBorder="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wrapText="1"/>
    </xf>
    <xf numFmtId="0" fontId="3" fillId="0" borderId="0" xfId="0" applyFont="1" applyAlignment="1">
      <alignment vertical="center" wrapText="1"/>
    </xf>
    <xf numFmtId="0" fontId="3" fillId="0" borderId="0" xfId="0" applyFont="1" applyAlignment="1">
      <alignment horizontal="center" vertical="center"/>
    </xf>
    <xf numFmtId="0" fontId="7" fillId="0" borderId="0" xfId="0" applyFont="1" applyAlignment="1">
      <alignment horizontal="center" vertical="center" wrapText="1"/>
    </xf>
    <xf numFmtId="0" fontId="9" fillId="0" borderId="0" xfId="0" applyFont="1"/>
    <xf numFmtId="0" fontId="10" fillId="0" borderId="0" xfId="0" applyFont="1"/>
    <xf numFmtId="0" fontId="11" fillId="0" borderId="0" xfId="0" applyFont="1"/>
    <xf numFmtId="0" fontId="0" fillId="0" borderId="0" xfId="0" applyAlignment="1">
      <alignment horizontal="center"/>
    </xf>
    <xf numFmtId="0" fontId="17" fillId="0" borderId="0" xfId="0" applyFont="1"/>
    <xf numFmtId="0" fontId="0" fillId="0" borderId="9" xfId="0" applyBorder="1"/>
    <xf numFmtId="0" fontId="0" fillId="0" borderId="12" xfId="0" applyBorder="1"/>
    <xf numFmtId="0" fontId="13" fillId="0" borderId="11" xfId="0" applyFont="1" applyBorder="1"/>
    <xf numFmtId="0" fontId="1" fillId="0" borderId="11" xfId="0" applyFont="1" applyBorder="1" applyAlignment="1">
      <alignment horizontal="right"/>
    </xf>
    <xf numFmtId="0" fontId="1" fillId="0" borderId="10" xfId="0" applyFont="1" applyBorder="1" applyAlignment="1">
      <alignment horizontal="right"/>
    </xf>
    <xf numFmtId="0" fontId="3" fillId="0" borderId="11" xfId="0" applyFont="1" applyBorder="1"/>
    <xf numFmtId="0" fontId="0" fillId="0" borderId="11" xfId="0" applyBorder="1" applyAlignment="1">
      <alignment horizontal="right"/>
    </xf>
    <xf numFmtId="0" fontId="0" fillId="0" borderId="10" xfId="0" applyBorder="1" applyAlignment="1">
      <alignment horizontal="right"/>
    </xf>
    <xf numFmtId="0" fontId="0" fillId="0" borderId="11" xfId="0" applyBorder="1"/>
    <xf numFmtId="0" fontId="18" fillId="0" borderId="10" xfId="0" applyFont="1" applyBorder="1" applyAlignment="1">
      <alignment horizontal="right"/>
    </xf>
    <xf numFmtId="0" fontId="3" fillId="0" borderId="11" xfId="0" applyFont="1" applyBorder="1" applyAlignment="1">
      <alignment wrapText="1"/>
    </xf>
    <xf numFmtId="0" fontId="14" fillId="0" borderId="10" xfId="0" applyFont="1" applyBorder="1" applyAlignment="1">
      <alignment horizontal="right"/>
    </xf>
    <xf numFmtId="0" fontId="13" fillId="0" borderId="11" xfId="0" applyFont="1" applyBorder="1" applyAlignment="1">
      <alignment wrapText="1"/>
    </xf>
    <xf numFmtId="0" fontId="9" fillId="0" borderId="11" xfId="0" applyFont="1" applyBorder="1"/>
    <xf numFmtId="0" fontId="9" fillId="0" borderId="11" xfId="0" applyFont="1" applyBorder="1" applyAlignment="1">
      <alignment wrapText="1"/>
    </xf>
    <xf numFmtId="0" fontId="9" fillId="2" borderId="11" xfId="0" applyFont="1" applyFill="1" applyBorder="1" applyAlignment="1" applyProtection="1">
      <alignment horizontal="left" wrapText="1"/>
      <protection locked="0"/>
    </xf>
    <xf numFmtId="0" fontId="9" fillId="2" borderId="11" xfId="0" applyFont="1" applyFill="1" applyBorder="1" applyAlignment="1" applyProtection="1">
      <alignment horizontal="right"/>
      <protection locked="0"/>
    </xf>
    <xf numFmtId="0" fontId="9" fillId="2" borderId="11" xfId="0" applyFont="1" applyFill="1" applyBorder="1" applyProtection="1">
      <protection locked="0"/>
    </xf>
    <xf numFmtId="0" fontId="11" fillId="0" borderId="9" xfId="0" applyFont="1" applyBorder="1" applyAlignment="1">
      <alignment wrapText="1"/>
    </xf>
    <xf numFmtId="0" fontId="9" fillId="0" borderId="9" xfId="0" applyFont="1" applyBorder="1" applyAlignment="1">
      <alignment horizontal="right"/>
    </xf>
    <xf numFmtId="0" fontId="11" fillId="0" borderId="11" xfId="0" applyFont="1" applyBorder="1"/>
    <xf numFmtId="0" fontId="1" fillId="0" borderId="11" xfId="0" applyFont="1" applyBorder="1"/>
    <xf numFmtId="0" fontId="9" fillId="0" borderId="12" xfId="0" applyFont="1" applyBorder="1" applyAlignment="1">
      <alignment horizontal="right"/>
    </xf>
    <xf numFmtId="0" fontId="14" fillId="0" borderId="12" xfId="0" applyFont="1" applyBorder="1" applyAlignment="1">
      <alignment horizontal="right"/>
    </xf>
    <xf numFmtId="0" fontId="14" fillId="0" borderId="12" xfId="0" applyFont="1" applyBorder="1" applyAlignment="1">
      <alignment horizontal="center"/>
    </xf>
    <xf numFmtId="0" fontId="1" fillId="0" borderId="11" xfId="0" applyFont="1" applyBorder="1" applyAlignment="1">
      <alignment horizontal="center"/>
    </xf>
    <xf numFmtId="166" fontId="11" fillId="0" borderId="11" xfId="0" applyNumberFormat="1" applyFont="1" applyBorder="1"/>
    <xf numFmtId="0" fontId="11" fillId="0" borderId="11" xfId="0" applyFont="1" applyBorder="1" applyAlignment="1">
      <alignment horizontal="left"/>
    </xf>
    <xf numFmtId="0" fontId="14" fillId="0" borderId="11" xfId="0" applyFont="1" applyBorder="1" applyAlignment="1">
      <alignment horizontal="left"/>
    </xf>
    <xf numFmtId="0" fontId="14" fillId="0" borderId="11" xfId="0" applyFont="1" applyBorder="1"/>
    <xf numFmtId="0" fontId="20" fillId="0" borderId="0" xfId="0" applyFont="1"/>
    <xf numFmtId="0" fontId="21" fillId="0" borderId="0" xfId="0" applyFont="1"/>
    <xf numFmtId="0" fontId="22" fillId="0" borderId="0" xfId="0" applyFont="1"/>
    <xf numFmtId="0" fontId="23" fillId="0" borderId="0" xfId="0" applyFont="1"/>
    <xf numFmtId="0" fontId="24" fillId="0" borderId="0" xfId="0" applyFont="1"/>
    <xf numFmtId="0" fontId="25" fillId="0" borderId="0" xfId="0" applyFont="1"/>
    <xf numFmtId="0" fontId="22" fillId="2" borderId="0" xfId="0" applyFont="1" applyFill="1" applyAlignment="1" applyProtection="1">
      <alignment horizontal="right"/>
      <protection locked="0"/>
    </xf>
    <xf numFmtId="0" fontId="22" fillId="0" borderId="0" xfId="0" applyFont="1" applyAlignment="1">
      <alignment wrapText="1"/>
    </xf>
    <xf numFmtId="0" fontId="22" fillId="2" borderId="0" xfId="0" applyFont="1" applyFill="1" applyProtection="1">
      <protection locked="0"/>
    </xf>
    <xf numFmtId="164" fontId="24" fillId="0" borderId="0" xfId="0" applyNumberFormat="1" applyFont="1"/>
    <xf numFmtId="165" fontId="22" fillId="0" borderId="0" xfId="0" applyNumberFormat="1" applyFont="1"/>
    <xf numFmtId="165" fontId="24" fillId="0" borderId="0" xfId="0" applyNumberFormat="1" applyFont="1"/>
    <xf numFmtId="164" fontId="22" fillId="0" borderId="0" xfId="0" applyNumberFormat="1" applyFont="1"/>
    <xf numFmtId="0" fontId="3" fillId="0" borderId="10" xfId="0" applyFont="1" applyBorder="1" applyAlignment="1">
      <alignment wrapText="1"/>
    </xf>
    <xf numFmtId="0" fontId="3" fillId="0" borderId="12" xfId="0" applyFont="1" applyBorder="1"/>
    <xf numFmtId="0" fontId="0" fillId="0" borderId="1" xfId="0" applyBorder="1"/>
    <xf numFmtId="0" fontId="0" fillId="0" borderId="2" xfId="0" applyBorder="1" applyAlignment="1">
      <alignment horizontal="center"/>
    </xf>
    <xf numFmtId="0" fontId="0" fillId="0" borderId="3" xfId="0" applyBorder="1"/>
    <xf numFmtId="0" fontId="1" fillId="0" borderId="8" xfId="0" applyFont="1" applyBorder="1"/>
    <xf numFmtId="164" fontId="0" fillId="0" borderId="0" xfId="0" applyNumberFormat="1"/>
    <xf numFmtId="0" fontId="28" fillId="0" borderId="0" xfId="0" applyFont="1"/>
    <xf numFmtId="1" fontId="0" fillId="0" borderId="11" xfId="0" applyNumberFormat="1" applyBorder="1"/>
    <xf numFmtId="164" fontId="1" fillId="0" borderId="11" xfId="0" applyNumberFormat="1" applyFont="1" applyBorder="1"/>
    <xf numFmtId="0" fontId="2" fillId="0" borderId="0" xfId="0" applyFont="1" applyProtection="1">
      <protection locked="0"/>
    </xf>
    <xf numFmtId="15" fontId="21" fillId="2" borderId="0" xfId="0" applyNumberFormat="1" applyFont="1" applyFill="1" applyAlignment="1" applyProtection="1">
      <alignment horizontal="left"/>
      <protection locked="0"/>
    </xf>
    <xf numFmtId="0" fontId="21" fillId="2" borderId="0" xfId="0" applyFont="1" applyFill="1" applyProtection="1">
      <protection locked="0"/>
    </xf>
    <xf numFmtId="0" fontId="0" fillId="2" borderId="0" xfId="0" applyFill="1" applyProtection="1">
      <protection locked="0"/>
    </xf>
    <xf numFmtId="0" fontId="0" fillId="0" borderId="0" xfId="0" applyAlignment="1">
      <alignment horizontal="center" wrapText="1"/>
    </xf>
    <xf numFmtId="1" fontId="22" fillId="0" borderId="0" xfId="0" applyNumberFormat="1" applyFont="1"/>
    <xf numFmtId="0" fontId="31" fillId="0" borderId="0" xfId="0" applyFont="1"/>
    <xf numFmtId="0" fontId="21" fillId="0" borderId="0" xfId="0" applyFont="1" applyAlignment="1">
      <alignment horizontal="center"/>
    </xf>
    <xf numFmtId="0" fontId="0" fillId="0" borderId="0" xfId="0" applyAlignment="1">
      <alignment horizontal="left"/>
    </xf>
    <xf numFmtId="15" fontId="0" fillId="2" borderId="0" xfId="0" applyNumberFormat="1" applyFill="1" applyAlignment="1" applyProtection="1">
      <alignment horizontal="left"/>
      <protection locked="0"/>
    </xf>
    <xf numFmtId="0" fontId="21" fillId="0" borderId="0" xfId="0" applyFont="1" applyAlignment="1">
      <alignment horizontal="center"/>
    </xf>
    <xf numFmtId="15" fontId="0" fillId="0" borderId="0" xfId="0" applyNumberFormat="1" applyAlignment="1">
      <alignment horizontal="left"/>
    </xf>
    <xf numFmtId="0" fontId="0" fillId="0" borderId="0" xfId="0" applyAlignment="1">
      <alignment horizontal="left"/>
    </xf>
    <xf numFmtId="15" fontId="0" fillId="2" borderId="0" xfId="0" applyNumberFormat="1" applyFill="1" applyAlignment="1" applyProtection="1">
      <alignment horizontal="left"/>
      <protection locked="0"/>
    </xf>
    <xf numFmtId="0" fontId="0" fillId="2" borderId="0" xfId="0" applyFill="1" applyAlignment="1" applyProtection="1">
      <alignment horizontal="left"/>
      <protection locked="0"/>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32" fillId="0" borderId="1" xfId="0" applyFont="1" applyBorder="1" applyAlignment="1">
      <alignment horizontal="center"/>
    </xf>
    <xf numFmtId="0" fontId="32" fillId="0" borderId="2" xfId="0" applyFont="1" applyBorder="1" applyAlignment="1">
      <alignment horizontal="center"/>
    </xf>
    <xf numFmtId="0" fontId="32" fillId="0" borderId="3" xfId="0" applyFont="1" applyBorder="1" applyAlignment="1">
      <alignment horizontal="center"/>
    </xf>
    <xf numFmtId="0" fontId="0" fillId="0" borderId="1"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0" xfId="0" applyAlignment="1">
      <alignment horizontal="center" wrapText="1"/>
    </xf>
    <xf numFmtId="0" fontId="0" fillId="0" borderId="5" xfId="0" applyBorder="1" applyAlignment="1">
      <alignment horizontal="center" wrapText="1"/>
    </xf>
  </cellXfs>
  <cellStyles count="1">
    <cellStyle name="Normal" xfId="0" builtinId="0"/>
  </cellStyles>
  <dxfs count="0"/>
  <tableStyles count="0" defaultTableStyle="TableStyleMedium2" defaultPivotStyle="PivotStyleLight16"/>
  <colors>
    <mruColors>
      <color rgb="FF99CC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123130</xdr:colOff>
      <xdr:row>13</xdr:row>
      <xdr:rowOff>29886</xdr:rowOff>
    </xdr:from>
    <xdr:to>
      <xdr:col>15</xdr:col>
      <xdr:colOff>333913</xdr:colOff>
      <xdr:row>20</xdr:row>
      <xdr:rowOff>27267</xdr:rowOff>
    </xdr:to>
    <xdr:pic>
      <xdr:nvPicPr>
        <xdr:cNvPr id="2" name="Picture 1">
          <a:extLst>
            <a:ext uri="{FF2B5EF4-FFF2-40B4-BE49-F238E27FC236}">
              <a16:creationId xmlns:a16="http://schemas.microsoft.com/office/drawing/2014/main" id="{4A92F781-C530-4BF1-9ADD-392E51CA858A}"/>
            </a:ext>
          </a:extLst>
        </xdr:cNvPr>
        <xdr:cNvPicPr>
          <a:picLocks noChangeAspect="1"/>
        </xdr:cNvPicPr>
      </xdr:nvPicPr>
      <xdr:blipFill>
        <a:blip xmlns:r="http://schemas.openxmlformats.org/officeDocument/2006/relationships" r:embed="rId1"/>
        <a:stretch>
          <a:fillRect/>
        </a:stretch>
      </xdr:blipFill>
      <xdr:spPr>
        <a:xfrm>
          <a:off x="7496601" y="3526121"/>
          <a:ext cx="5045374" cy="1886320"/>
        </a:xfrm>
        <a:prstGeom prst="rect">
          <a:avLst/>
        </a:prstGeom>
      </xdr:spPr>
    </xdr:pic>
    <xdr:clientData/>
  </xdr:twoCellAnchor>
  <xdr:oneCellAnchor>
    <xdr:from>
      <xdr:col>2</xdr:col>
      <xdr:colOff>360506</xdr:colOff>
      <xdr:row>34</xdr:row>
      <xdr:rowOff>218784</xdr:rowOff>
    </xdr:from>
    <xdr:ext cx="2104787" cy="891911"/>
    <xdr:sp macro="" textlink="">
      <xdr:nvSpPr>
        <xdr:cNvPr id="8" name="TextBox 7">
          <a:extLst>
            <a:ext uri="{FF2B5EF4-FFF2-40B4-BE49-F238E27FC236}">
              <a16:creationId xmlns:a16="http://schemas.microsoft.com/office/drawing/2014/main" id="{750391F2-3D35-426A-8AAE-F34863B9EB68}"/>
            </a:ext>
          </a:extLst>
        </xdr:cNvPr>
        <xdr:cNvSpPr txBox="1"/>
      </xdr:nvSpPr>
      <xdr:spPr>
        <a:xfrm>
          <a:off x="4837256" y="9419934"/>
          <a:ext cx="2104787" cy="891911"/>
        </a:xfrm>
        <a:prstGeom prst="rect">
          <a:avLst/>
        </a:prstGeom>
        <a:solidFill>
          <a:schemeClr val="accent4">
            <a:lumMod val="20000"/>
            <a:lumOff val="80000"/>
          </a:schemeClr>
        </a:solidFill>
        <a:ln w="12700">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latin typeface="Franklin Gothic Book" panose="020B0503020102020204" pitchFamily="34" charset="0"/>
            </a:rPr>
            <a:t>Note</a:t>
          </a:r>
          <a:r>
            <a:rPr lang="en-US" sz="1100">
              <a:latin typeface="Franklin Gothic Book" panose="020B0503020102020204" pitchFamily="34" charset="0"/>
            </a:rPr>
            <a:t>, C</a:t>
          </a:r>
          <a:r>
            <a:rPr lang="en-US" sz="1100" baseline="-25000">
              <a:latin typeface="Franklin Gothic Book" panose="020B0503020102020204" pitchFamily="34" charset="0"/>
            </a:rPr>
            <a:t>0</a:t>
          </a:r>
          <a:r>
            <a:rPr lang="en-US" sz="1100">
              <a:latin typeface="Franklin Gothic Book" panose="020B0503020102020204" pitchFamily="34" charset="0"/>
            </a:rPr>
            <a:t> to C</a:t>
          </a:r>
          <a:r>
            <a:rPr lang="en-US" sz="1100" baseline="-25000">
              <a:latin typeface="Franklin Gothic Book" panose="020B0503020102020204" pitchFamily="34" charset="0"/>
            </a:rPr>
            <a:t>5</a:t>
          </a:r>
          <a:r>
            <a:rPr lang="en-US" sz="1100">
              <a:latin typeface="Franklin Gothic Book" panose="020B0503020102020204" pitchFamily="34" charset="0"/>
            </a:rPr>
            <a:t> values are based</a:t>
          </a:r>
          <a:r>
            <a:rPr lang="en-US" sz="1100" baseline="0">
              <a:latin typeface="Franklin Gothic Book" panose="020B0503020102020204" pitchFamily="34" charset="0"/>
            </a:rPr>
            <a:t> on Table B3.1.1-1. C</a:t>
          </a:r>
          <a:r>
            <a:rPr lang="en-US" sz="1100" baseline="-25000">
              <a:latin typeface="Franklin Gothic Book" panose="020B0503020102020204" pitchFamily="34" charset="0"/>
            </a:rPr>
            <a:t>0</a:t>
          </a:r>
          <a:r>
            <a:rPr lang="en-US" sz="1100" baseline="0">
              <a:latin typeface="Franklin Gothic Book" panose="020B0503020102020204" pitchFamily="34" charset="0"/>
            </a:rPr>
            <a:t>-C</a:t>
          </a:r>
          <a:r>
            <a:rPr lang="en-US" sz="1100" baseline="-25000">
              <a:latin typeface="Franklin Gothic Book" panose="020B0503020102020204" pitchFamily="34" charset="0"/>
            </a:rPr>
            <a:t>5</a:t>
          </a:r>
          <a:r>
            <a:rPr lang="en-US" sz="1100" baseline="0">
              <a:latin typeface="Franklin Gothic Book" panose="020B0503020102020204" pitchFamily="34" charset="0"/>
            </a:rPr>
            <a:t> are permitted to be linear  interpolated for non-standard designation thickness.</a:t>
          </a:r>
          <a:endParaRPr lang="en-US" sz="1100">
            <a:latin typeface="Franklin Gothic Book" panose="020B0503020102020204" pitchFamily="34" charset="0"/>
          </a:endParaRPr>
        </a:p>
      </xdr:txBody>
    </xdr:sp>
    <xdr:clientData/>
  </xdr:oneCellAnchor>
  <xdr:oneCellAnchor>
    <xdr:from>
      <xdr:col>7</xdr:col>
      <xdr:colOff>8658</xdr:colOff>
      <xdr:row>0</xdr:row>
      <xdr:rowOff>19627</xdr:rowOff>
    </xdr:from>
    <xdr:ext cx="5456637" cy="1907785"/>
    <xdr:sp macro="" textlink="">
      <xdr:nvSpPr>
        <xdr:cNvPr id="9" name="TextBox 8">
          <a:extLst>
            <a:ext uri="{FF2B5EF4-FFF2-40B4-BE49-F238E27FC236}">
              <a16:creationId xmlns:a16="http://schemas.microsoft.com/office/drawing/2014/main" id="{AB2BEE4B-DF8C-44B1-972C-B976EB8B600C}"/>
            </a:ext>
          </a:extLst>
        </xdr:cNvPr>
        <xdr:cNvSpPr txBox="1"/>
      </xdr:nvSpPr>
      <xdr:spPr>
        <a:xfrm>
          <a:off x="7382129" y="19627"/>
          <a:ext cx="5456637" cy="1907785"/>
        </a:xfrm>
        <a:prstGeom prst="rect">
          <a:avLst/>
        </a:prstGeom>
        <a:solidFill>
          <a:schemeClr val="accent4">
            <a:lumMod val="20000"/>
            <a:lumOff val="80000"/>
          </a:schemeClr>
        </a:solidFill>
        <a:ln w="12700" cmpd="dbl">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Franklin Gothic Book" panose="020B0503020102020204" pitchFamily="34" charset="0"/>
              <a:ea typeface="+mn-ea"/>
              <a:cs typeface="+mn-cs"/>
            </a:rPr>
            <a:t>Disclaimer:</a:t>
          </a: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tx1"/>
              </a:solidFill>
              <a:effectLst/>
              <a:latin typeface="Franklin Gothic Book" panose="020B0503020102020204" pitchFamily="34" charset="0"/>
              <a:ea typeface="+mn-ea"/>
              <a:cs typeface="+mn-cs"/>
            </a:rPr>
            <a:t>The publication of the material contained herein is not intended as a representation or warranty on the part of the American Iron and Steel Institute, or of any other person named herein.  The materials set forth herein are for general information only. They are not a substitute for competent professional advice. Application of this information to a specific project should be reviewed by a design professional. Indeed, in many jurisdictions, such review is required by law. Anyone making use of the information set forth herein does so at their own risk and assumes any and all resulting liability arising therefrom.</a:t>
          </a: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tx1"/>
              </a:solidFill>
              <a:effectLst/>
              <a:latin typeface="Franklin Gothic Book" panose="020B0503020102020204" pitchFamily="34" charset="0"/>
              <a:ea typeface="+mn-ea"/>
              <a:cs typeface="+mn-cs"/>
            </a:rPr>
            <a:t>With anticipated improvements in understanding of the behavior of cold-formed steel and the continuing development of new technology, this material may eventually become dated. It is anticipated that future editions of this </a:t>
          </a:r>
          <a:r>
            <a:rPr lang="en-US" sz="1000" i="0">
              <a:solidFill>
                <a:schemeClr val="tx1"/>
              </a:solidFill>
              <a:effectLst/>
              <a:latin typeface="Franklin Gothic Book" panose="020B0503020102020204" pitchFamily="34" charset="0"/>
              <a:ea typeface="+mn-ea"/>
              <a:cs typeface="+mn-cs"/>
            </a:rPr>
            <a:t>spreadsheet</a:t>
          </a:r>
          <a:r>
            <a:rPr lang="en-US" sz="1000">
              <a:solidFill>
                <a:schemeClr val="tx1"/>
              </a:solidFill>
              <a:effectLst/>
              <a:latin typeface="Franklin Gothic Book" panose="020B0503020102020204" pitchFamily="34" charset="0"/>
              <a:ea typeface="+mn-ea"/>
              <a:cs typeface="+mn-cs"/>
            </a:rPr>
            <a:t> will update this material as new information becomes available, but this cannot be guaranteed.</a:t>
          </a:r>
        </a:p>
        <a:p>
          <a:pPr marL="0" marR="0" lvl="0" indent="0" defTabSz="914400" eaLnBrk="1" fontAlgn="auto" latinLnBrk="0" hangingPunct="1">
            <a:lnSpc>
              <a:spcPct val="100000"/>
            </a:lnSpc>
            <a:spcBef>
              <a:spcPts val="0"/>
            </a:spcBef>
            <a:spcAft>
              <a:spcPts val="0"/>
            </a:spcAft>
            <a:buClrTx/>
            <a:buSzTx/>
            <a:buFontTx/>
            <a:buNone/>
            <a:tabLst/>
            <a:defRPr/>
          </a:pPr>
          <a:endParaRPr lang="en-US" sz="900">
            <a:solidFill>
              <a:schemeClr val="tx1"/>
            </a:solidFill>
            <a:effectLst/>
            <a:latin typeface="Franklin Gothic Book" panose="020B0503020102020204" pitchFamily="34" charset="0"/>
            <a:ea typeface="+mn-ea"/>
            <a:cs typeface="+mn-cs"/>
          </a:endParaRPr>
        </a:p>
      </xdr:txBody>
    </xdr:sp>
    <xdr:clientData/>
  </xdr:oneCellAnchor>
  <xdr:twoCellAnchor editAs="oneCell">
    <xdr:from>
      <xdr:col>7</xdr:col>
      <xdr:colOff>131022</xdr:colOff>
      <xdr:row>19</xdr:row>
      <xdr:rowOff>208955</xdr:rowOff>
    </xdr:from>
    <xdr:to>
      <xdr:col>15</xdr:col>
      <xdr:colOff>363534</xdr:colOff>
      <xdr:row>25</xdr:row>
      <xdr:rowOff>216646</xdr:rowOff>
    </xdr:to>
    <xdr:pic>
      <xdr:nvPicPr>
        <xdr:cNvPr id="10" name="Picture 9">
          <a:extLst>
            <a:ext uri="{FF2B5EF4-FFF2-40B4-BE49-F238E27FC236}">
              <a16:creationId xmlns:a16="http://schemas.microsoft.com/office/drawing/2014/main" id="{F028F85B-83B5-42F6-9FFF-C997DDD2574A}"/>
            </a:ext>
          </a:extLst>
        </xdr:cNvPr>
        <xdr:cNvPicPr>
          <a:picLocks noChangeAspect="1"/>
        </xdr:cNvPicPr>
      </xdr:nvPicPr>
      <xdr:blipFill>
        <a:blip xmlns:r="http://schemas.openxmlformats.org/officeDocument/2006/relationships" r:embed="rId2"/>
        <a:stretch>
          <a:fillRect/>
        </a:stretch>
      </xdr:blipFill>
      <xdr:spPr>
        <a:xfrm>
          <a:off x="7504493" y="5587779"/>
          <a:ext cx="5073453" cy="1763280"/>
        </a:xfrm>
        <a:prstGeom prst="rect">
          <a:avLst/>
        </a:prstGeom>
      </xdr:spPr>
    </xdr:pic>
    <xdr:clientData/>
  </xdr:twoCellAnchor>
  <xdr:twoCellAnchor editAs="oneCell">
    <xdr:from>
      <xdr:col>7</xdr:col>
      <xdr:colOff>64841</xdr:colOff>
      <xdr:row>27</xdr:row>
      <xdr:rowOff>12223</xdr:rowOff>
    </xdr:from>
    <xdr:to>
      <xdr:col>15</xdr:col>
      <xdr:colOff>294748</xdr:colOff>
      <xdr:row>32</xdr:row>
      <xdr:rowOff>217766</xdr:rowOff>
    </xdr:to>
    <xdr:pic>
      <xdr:nvPicPr>
        <xdr:cNvPr id="11" name="Picture 10">
          <a:extLst>
            <a:ext uri="{FF2B5EF4-FFF2-40B4-BE49-F238E27FC236}">
              <a16:creationId xmlns:a16="http://schemas.microsoft.com/office/drawing/2014/main" id="{310018C6-D3A8-4FCE-8545-5558275C0594}"/>
            </a:ext>
          </a:extLst>
        </xdr:cNvPr>
        <xdr:cNvPicPr>
          <a:picLocks noChangeAspect="1"/>
        </xdr:cNvPicPr>
      </xdr:nvPicPr>
      <xdr:blipFill>
        <a:blip xmlns:r="http://schemas.openxmlformats.org/officeDocument/2006/relationships" r:embed="rId3"/>
        <a:stretch>
          <a:fillRect/>
        </a:stretch>
      </xdr:blipFill>
      <xdr:spPr>
        <a:xfrm>
          <a:off x="7438312" y="7542576"/>
          <a:ext cx="5070848" cy="1556599"/>
        </a:xfrm>
        <a:prstGeom prst="rect">
          <a:avLst/>
        </a:prstGeom>
      </xdr:spPr>
    </xdr:pic>
    <xdr:clientData/>
  </xdr:twoCellAnchor>
  <xdr:twoCellAnchor editAs="oneCell">
    <xdr:from>
      <xdr:col>7</xdr:col>
      <xdr:colOff>112841</xdr:colOff>
      <xdr:row>33</xdr:row>
      <xdr:rowOff>179412</xdr:rowOff>
    </xdr:from>
    <xdr:to>
      <xdr:col>15</xdr:col>
      <xdr:colOff>276586</xdr:colOff>
      <xdr:row>40</xdr:row>
      <xdr:rowOff>2240</xdr:rowOff>
    </xdr:to>
    <xdr:pic>
      <xdr:nvPicPr>
        <xdr:cNvPr id="12" name="Picture 11">
          <a:extLst>
            <a:ext uri="{FF2B5EF4-FFF2-40B4-BE49-F238E27FC236}">
              <a16:creationId xmlns:a16="http://schemas.microsoft.com/office/drawing/2014/main" id="{23050F70-3CCF-4262-A49E-36CFC0426DB6}"/>
            </a:ext>
          </a:extLst>
        </xdr:cNvPr>
        <xdr:cNvPicPr>
          <a:picLocks noChangeAspect="1"/>
        </xdr:cNvPicPr>
      </xdr:nvPicPr>
      <xdr:blipFill>
        <a:blip xmlns:r="http://schemas.openxmlformats.org/officeDocument/2006/relationships" r:embed="rId4"/>
        <a:stretch>
          <a:fillRect/>
        </a:stretch>
      </xdr:blipFill>
      <xdr:spPr>
        <a:xfrm>
          <a:off x="7486312" y="9323412"/>
          <a:ext cx="5004686" cy="1703175"/>
        </a:xfrm>
        <a:prstGeom prst="rect">
          <a:avLst/>
        </a:prstGeom>
      </xdr:spPr>
    </xdr:pic>
    <xdr:clientData/>
  </xdr:twoCellAnchor>
  <xdr:twoCellAnchor editAs="oneCell">
    <xdr:from>
      <xdr:col>7</xdr:col>
      <xdr:colOff>66608</xdr:colOff>
      <xdr:row>40</xdr:row>
      <xdr:rowOff>101874</xdr:rowOff>
    </xdr:from>
    <xdr:to>
      <xdr:col>15</xdr:col>
      <xdr:colOff>239255</xdr:colOff>
      <xdr:row>47</xdr:row>
      <xdr:rowOff>27268</xdr:rowOff>
    </xdr:to>
    <xdr:pic>
      <xdr:nvPicPr>
        <xdr:cNvPr id="13" name="Picture 12">
          <a:extLst>
            <a:ext uri="{FF2B5EF4-FFF2-40B4-BE49-F238E27FC236}">
              <a16:creationId xmlns:a16="http://schemas.microsoft.com/office/drawing/2014/main" id="{B418857C-5AC0-456B-A15D-DF0C4390BE55}"/>
            </a:ext>
          </a:extLst>
        </xdr:cNvPr>
        <xdr:cNvPicPr>
          <a:picLocks noChangeAspect="1"/>
        </xdr:cNvPicPr>
      </xdr:nvPicPr>
      <xdr:blipFill>
        <a:blip xmlns:r="http://schemas.openxmlformats.org/officeDocument/2006/relationships" r:embed="rId5"/>
        <a:stretch>
          <a:fillRect/>
        </a:stretch>
      </xdr:blipFill>
      <xdr:spPr>
        <a:xfrm>
          <a:off x="7440079" y="11128462"/>
          <a:ext cx="5013588" cy="1814332"/>
        </a:xfrm>
        <a:prstGeom prst="rect">
          <a:avLst/>
        </a:prstGeom>
      </xdr:spPr>
    </xdr:pic>
    <xdr:clientData/>
  </xdr:twoCellAnchor>
  <xdr:twoCellAnchor editAs="oneCell">
    <xdr:from>
      <xdr:col>7</xdr:col>
      <xdr:colOff>73977</xdr:colOff>
      <xdr:row>47</xdr:row>
      <xdr:rowOff>171416</xdr:rowOff>
    </xdr:from>
    <xdr:to>
      <xdr:col>15</xdr:col>
      <xdr:colOff>248848</xdr:colOff>
      <xdr:row>51</xdr:row>
      <xdr:rowOff>219262</xdr:rowOff>
    </xdr:to>
    <xdr:pic>
      <xdr:nvPicPr>
        <xdr:cNvPr id="14" name="Picture 13">
          <a:extLst>
            <a:ext uri="{FF2B5EF4-FFF2-40B4-BE49-F238E27FC236}">
              <a16:creationId xmlns:a16="http://schemas.microsoft.com/office/drawing/2014/main" id="{252EE89C-6CFE-4AFC-9C57-E046B836D480}"/>
            </a:ext>
          </a:extLst>
        </xdr:cNvPr>
        <xdr:cNvPicPr>
          <a:picLocks noChangeAspect="1"/>
        </xdr:cNvPicPr>
      </xdr:nvPicPr>
      <xdr:blipFill>
        <a:blip xmlns:r="http://schemas.openxmlformats.org/officeDocument/2006/relationships" r:embed="rId6"/>
        <a:stretch>
          <a:fillRect/>
        </a:stretch>
      </xdr:blipFill>
      <xdr:spPr>
        <a:xfrm>
          <a:off x="7447448" y="13080592"/>
          <a:ext cx="5015812" cy="1117261"/>
        </a:xfrm>
        <a:prstGeom prst="rect">
          <a:avLst/>
        </a:prstGeom>
      </xdr:spPr>
    </xdr:pic>
    <xdr:clientData/>
  </xdr:twoCellAnchor>
  <xdr:oneCellAnchor>
    <xdr:from>
      <xdr:col>7</xdr:col>
      <xdr:colOff>31071</xdr:colOff>
      <xdr:row>7</xdr:row>
      <xdr:rowOff>140821</xdr:rowOff>
    </xdr:from>
    <xdr:ext cx="5445430" cy="1203885"/>
    <xdr:sp macro="" textlink="">
      <xdr:nvSpPr>
        <xdr:cNvPr id="3" name="TextBox 2">
          <a:extLst>
            <a:ext uri="{FF2B5EF4-FFF2-40B4-BE49-F238E27FC236}">
              <a16:creationId xmlns:a16="http://schemas.microsoft.com/office/drawing/2014/main" id="{EC1F201E-D2A7-445D-BF0A-AAC6DB00C7E0}"/>
            </a:ext>
          </a:extLst>
        </xdr:cNvPr>
        <xdr:cNvSpPr txBox="1"/>
      </xdr:nvSpPr>
      <xdr:spPr>
        <a:xfrm>
          <a:off x="7404542" y="2023409"/>
          <a:ext cx="5445430" cy="1203885"/>
        </a:xfrm>
        <a:prstGeom prst="rect">
          <a:avLst/>
        </a:prstGeom>
        <a:solidFill>
          <a:schemeClr val="accent4">
            <a:lumMod val="20000"/>
            <a:lumOff val="80000"/>
          </a:schemeClr>
        </a:solidFill>
        <a:ln w="12700">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000" b="1">
              <a:latin typeface="Franklin Gothic Book" panose="020B0503020102020204" pitchFamily="34" charset="0"/>
            </a:rPr>
            <a:t>User Note</a:t>
          </a:r>
          <a:r>
            <a:rPr lang="en-US" sz="1000">
              <a:latin typeface="Franklin Gothic Book" panose="020B0503020102020204" pitchFamily="34" charset="0"/>
            </a:rPr>
            <a:t>:</a:t>
          </a:r>
          <a:r>
            <a:rPr lang="en-US" sz="1000">
              <a:solidFill>
                <a:schemeClr val="tx1"/>
              </a:solidFill>
              <a:effectLst/>
              <a:latin typeface="Franklin Gothic Book" panose="020B0503020102020204" pitchFamily="34" charset="0"/>
              <a:ea typeface="+mn-ea"/>
              <a:cs typeface="+mn-cs"/>
            </a:rPr>
            <a:t>These values illustrated in</a:t>
          </a:r>
          <a:r>
            <a:rPr lang="en-US" sz="1000" baseline="0">
              <a:solidFill>
                <a:schemeClr val="tx1"/>
              </a:solidFill>
              <a:effectLst/>
              <a:latin typeface="Franklin Gothic Book" panose="020B0503020102020204" pitchFamily="34" charset="0"/>
              <a:ea typeface="+mn-ea"/>
              <a:cs typeface="+mn-cs"/>
            </a:rPr>
            <a:t> </a:t>
          </a:r>
          <a:r>
            <a:rPr lang="en-US" sz="1000" b="1">
              <a:solidFill>
                <a:schemeClr val="tx1"/>
              </a:solidFill>
              <a:effectLst/>
              <a:latin typeface="Franklin Gothic Book" panose="020B0503020102020204" pitchFamily="34" charset="0"/>
              <a:ea typeface="+mn-ea"/>
              <a:cs typeface="+mn-cs"/>
            </a:rPr>
            <a:t>Tables</a:t>
          </a:r>
          <a:r>
            <a:rPr lang="en-US" sz="1000" b="1" baseline="0">
              <a:solidFill>
                <a:schemeClr val="tx1"/>
              </a:solidFill>
              <a:effectLst/>
              <a:latin typeface="Franklin Gothic Book" panose="020B0503020102020204" pitchFamily="34" charset="0"/>
              <a:ea typeface="+mn-ea"/>
              <a:cs typeface="+mn-cs"/>
            </a:rPr>
            <a:t> C-B3.1-1 to C-B3.1-6 </a:t>
          </a:r>
          <a:r>
            <a:rPr lang="en-US" sz="1000" b="0" baseline="0">
              <a:solidFill>
                <a:schemeClr val="tx1"/>
              </a:solidFill>
              <a:effectLst/>
              <a:latin typeface="Franklin Gothic Book" panose="020B0503020102020204" pitchFamily="34" charset="0"/>
              <a:ea typeface="+mn-ea"/>
              <a:cs typeface="+mn-cs"/>
            </a:rPr>
            <a:t>below</a:t>
          </a:r>
          <a:r>
            <a:rPr lang="en-US" sz="1000" baseline="0">
              <a:solidFill>
                <a:schemeClr val="tx1"/>
              </a:solidFill>
              <a:effectLst/>
              <a:latin typeface="Franklin Gothic Book" panose="020B0503020102020204" pitchFamily="34" charset="0"/>
              <a:ea typeface="+mn-ea"/>
              <a:cs typeface="+mn-cs"/>
            </a:rPr>
            <a:t> are</a:t>
          </a:r>
          <a:r>
            <a:rPr lang="en-US" sz="1000">
              <a:solidFill>
                <a:schemeClr val="tx1"/>
              </a:solidFill>
              <a:effectLst/>
              <a:latin typeface="Franklin Gothic Book" panose="020B0503020102020204" pitchFamily="34" charset="0"/>
              <a:ea typeface="+mn-ea"/>
              <a:cs typeface="+mn-cs"/>
            </a:rPr>
            <a:t> intended to be representative of some of the materials that are available from manufacturers. They are included primarily as a guide in the design of wall assemblies with cold-formed steel framing members. Although the values are useful for preliminary design, users should consult the literature of material providers for actual thermal property data when specifying products. Users must be careful when applying values from other reliable sources to ensure consistent units with the intent of AISI</a:t>
          </a:r>
          <a:r>
            <a:rPr lang="en-US" sz="1000" baseline="0">
              <a:solidFill>
                <a:schemeClr val="tx1"/>
              </a:solidFill>
              <a:effectLst/>
              <a:latin typeface="Franklin Gothic Book" panose="020B0503020102020204" pitchFamily="34" charset="0"/>
              <a:ea typeface="+mn-ea"/>
              <a:cs typeface="+mn-cs"/>
            </a:rPr>
            <a:t> S250</a:t>
          </a:r>
          <a:r>
            <a:rPr lang="en-US" sz="1000">
              <a:solidFill>
                <a:schemeClr val="tx1"/>
              </a:solidFill>
              <a:effectLst/>
              <a:latin typeface="Franklin Gothic Book" panose="020B0503020102020204" pitchFamily="34" charset="0"/>
              <a:ea typeface="+mn-ea"/>
              <a:cs typeface="+mn-cs"/>
            </a:rPr>
            <a:t>.</a:t>
          </a:r>
          <a:endParaRPr lang="en-US" sz="1000">
            <a:latin typeface="Franklin Gothic Book" panose="020B0503020102020204" pitchFamily="34" charset="0"/>
          </a:endParaRPr>
        </a:p>
      </xdr:txBody>
    </xdr:sp>
    <xdr:clientData/>
  </xdr:oneCellAnchor>
  <xdr:oneCellAnchor>
    <xdr:from>
      <xdr:col>3</xdr:col>
      <xdr:colOff>15876</xdr:colOff>
      <xdr:row>22</xdr:row>
      <xdr:rowOff>0</xdr:rowOff>
    </xdr:from>
    <xdr:ext cx="1828800" cy="891911"/>
    <xdr:sp macro="" textlink="">
      <xdr:nvSpPr>
        <xdr:cNvPr id="15" name="TextBox 14">
          <a:extLst>
            <a:ext uri="{FF2B5EF4-FFF2-40B4-BE49-F238E27FC236}">
              <a16:creationId xmlns:a16="http://schemas.microsoft.com/office/drawing/2014/main" id="{F4B6AE92-1F59-4067-A756-E068EF74B8B1}"/>
            </a:ext>
          </a:extLst>
        </xdr:cNvPr>
        <xdr:cNvSpPr txBox="1"/>
      </xdr:nvSpPr>
      <xdr:spPr>
        <a:xfrm>
          <a:off x="5149851" y="6000750"/>
          <a:ext cx="1828800" cy="891911"/>
        </a:xfrm>
        <a:prstGeom prst="rect">
          <a:avLst/>
        </a:prstGeom>
        <a:solidFill>
          <a:schemeClr val="accent4">
            <a:lumMod val="20000"/>
            <a:lumOff val="80000"/>
          </a:schemeClr>
        </a:solidFill>
        <a:ln w="12700">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a:latin typeface="Franklin Gothic Book" panose="020B0503020102020204" pitchFamily="34" charset="0"/>
            </a:rPr>
            <a:t>Note</a:t>
          </a:r>
          <a:r>
            <a:rPr lang="en-US" sz="1100">
              <a:latin typeface="Franklin Gothic Book" panose="020B0503020102020204" pitchFamily="34" charset="0"/>
            </a:rPr>
            <a:t>, k is based</a:t>
          </a:r>
          <a:r>
            <a:rPr lang="en-US" sz="1100" baseline="0">
              <a:latin typeface="Franklin Gothic Book" panose="020B0503020102020204" pitchFamily="34" charset="0"/>
            </a:rPr>
            <a:t> on Table B3.1.3-1. k is permitted to be linear interpolated for non-standard designation thickness.</a:t>
          </a:r>
          <a:endParaRPr lang="en-US" sz="1100">
            <a:latin typeface="Franklin Gothic Book" panose="020B0503020102020204" pitchFamily="34" charset="0"/>
          </a:endParaRPr>
        </a:p>
      </xdr:txBody>
    </xdr:sp>
    <xdr:clientData/>
  </xdr:oneCellAnchor>
  <xdr:twoCellAnchor editAs="oneCell">
    <xdr:from>
      <xdr:col>3</xdr:col>
      <xdr:colOff>200025</xdr:colOff>
      <xdr:row>9</xdr:row>
      <xdr:rowOff>25400</xdr:rowOff>
    </xdr:from>
    <xdr:to>
      <xdr:col>6</xdr:col>
      <xdr:colOff>524995</xdr:colOff>
      <xdr:row>16</xdr:row>
      <xdr:rowOff>192587</xdr:rowOff>
    </xdr:to>
    <xdr:pic>
      <xdr:nvPicPr>
        <xdr:cNvPr id="16" name="Picture 15">
          <a:extLst>
            <a:ext uri="{FF2B5EF4-FFF2-40B4-BE49-F238E27FC236}">
              <a16:creationId xmlns:a16="http://schemas.microsoft.com/office/drawing/2014/main" id="{64C6CA1A-AF34-43B1-87C9-19D489456E08}"/>
            </a:ext>
          </a:extLst>
        </xdr:cNvPr>
        <xdr:cNvPicPr>
          <a:picLocks noChangeAspect="1"/>
        </xdr:cNvPicPr>
      </xdr:nvPicPr>
      <xdr:blipFill rotWithShape="1">
        <a:blip xmlns:r="http://schemas.openxmlformats.org/officeDocument/2006/relationships" r:embed="rId7"/>
        <a:srcRect l="3921" t="4622"/>
        <a:stretch/>
      </xdr:blipFill>
      <xdr:spPr>
        <a:xfrm>
          <a:off x="5334000" y="2425700"/>
          <a:ext cx="2153770" cy="20340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9525</xdr:colOff>
      <xdr:row>1</xdr:row>
      <xdr:rowOff>98424</xdr:rowOff>
    </xdr:from>
    <xdr:ext cx="5695950" cy="1435101"/>
    <xdr:sp macro="" textlink="">
      <xdr:nvSpPr>
        <xdr:cNvPr id="2" name="TextBox 1">
          <a:extLst>
            <a:ext uri="{FF2B5EF4-FFF2-40B4-BE49-F238E27FC236}">
              <a16:creationId xmlns:a16="http://schemas.microsoft.com/office/drawing/2014/main" id="{DA384695-5174-4E1E-B0B2-908A0E74A21E}"/>
            </a:ext>
          </a:extLst>
        </xdr:cNvPr>
        <xdr:cNvSpPr txBox="1"/>
      </xdr:nvSpPr>
      <xdr:spPr>
        <a:xfrm>
          <a:off x="9525" y="279399"/>
          <a:ext cx="5695950" cy="1435101"/>
        </a:xfrm>
        <a:prstGeom prst="rect">
          <a:avLst/>
        </a:prstGeom>
        <a:solidFill>
          <a:schemeClr val="accent4">
            <a:lumMod val="20000"/>
            <a:lumOff val="80000"/>
          </a:schemeClr>
        </a:solidFill>
        <a:ln w="12700" cmpd="dbl">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Franklin Gothic Book" panose="020B0503020102020204" pitchFamily="34" charset="0"/>
              <a:ea typeface="+mn-ea"/>
              <a:cs typeface="+mn-cs"/>
            </a:rPr>
            <a:t>Disclaimer:</a:t>
          </a:r>
        </a:p>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tx1"/>
              </a:solidFill>
              <a:effectLst/>
              <a:latin typeface="Franklin Gothic Book" panose="020B0503020102020204" pitchFamily="34" charset="0"/>
              <a:ea typeface="+mn-ea"/>
              <a:cs typeface="+mn-cs"/>
            </a:rPr>
            <a:t>The publication of the material contained herein is not intended as a representation or warranty on the part of the American Iron and Steel Institute, or of any other person named herein.  The materials set forth herein are for general information only. They are not a substitute for competent professional advice. Application of this information to a specific project should be reviewed by </a:t>
          </a:r>
          <a:r>
            <a:rPr lang="en-US" sz="900">
              <a:solidFill>
                <a:schemeClr val="tx1"/>
              </a:solidFill>
              <a:effectLst/>
              <a:latin typeface="+mn-lt"/>
              <a:ea typeface="+mn-ea"/>
              <a:cs typeface="+mn-cs"/>
            </a:rPr>
            <a:t>a design professional. Indeed, in many jurisdictions, such review is required by law</a:t>
          </a:r>
          <a:r>
            <a:rPr lang="en-US" sz="900">
              <a:solidFill>
                <a:schemeClr val="tx1"/>
              </a:solidFill>
              <a:effectLst/>
              <a:latin typeface="Franklin Gothic Book" panose="020B0503020102020204" pitchFamily="34" charset="0"/>
              <a:ea typeface="+mn-ea"/>
              <a:cs typeface="+mn-cs"/>
            </a:rPr>
            <a:t>. Anyone making use of the information set forth herein does so at their own risk and assumes any and all resulting liability arising therefrom. With anticipated improvements in understanding of the behavior of cold-formed steel and the continuing development of new technology, this material may eventually become dated. It is anticipated that future editions of this </a:t>
          </a:r>
          <a:r>
            <a:rPr lang="en-US" sz="900" i="0">
              <a:solidFill>
                <a:schemeClr val="tx1"/>
              </a:solidFill>
              <a:effectLst/>
              <a:latin typeface="Franklin Gothic Book" panose="020B0503020102020204" pitchFamily="34" charset="0"/>
              <a:ea typeface="+mn-ea"/>
              <a:cs typeface="+mn-cs"/>
            </a:rPr>
            <a:t>spreadsheet</a:t>
          </a:r>
          <a:r>
            <a:rPr lang="en-US" sz="900">
              <a:solidFill>
                <a:schemeClr val="tx1"/>
              </a:solidFill>
              <a:effectLst/>
              <a:latin typeface="Franklin Gothic Book" panose="020B0503020102020204" pitchFamily="34" charset="0"/>
              <a:ea typeface="+mn-ea"/>
              <a:cs typeface="+mn-cs"/>
            </a:rPr>
            <a:t> will update this material as new information becomes available, but this cannot be guaranteed.</a:t>
          </a:r>
        </a:p>
        <a:p>
          <a:pPr marL="0" marR="0" lvl="0" indent="0" defTabSz="914400" eaLnBrk="1" fontAlgn="auto" latinLnBrk="0" hangingPunct="1">
            <a:lnSpc>
              <a:spcPct val="100000"/>
            </a:lnSpc>
            <a:spcBef>
              <a:spcPts val="0"/>
            </a:spcBef>
            <a:spcAft>
              <a:spcPts val="0"/>
            </a:spcAft>
            <a:buClrTx/>
            <a:buSzTx/>
            <a:buFontTx/>
            <a:buNone/>
            <a:tabLst/>
            <a:defRPr/>
          </a:pPr>
          <a:endParaRPr lang="en-US" sz="900">
            <a:solidFill>
              <a:schemeClr val="tx1"/>
            </a:solidFill>
            <a:effectLst/>
            <a:latin typeface="Franklin Gothic Book" panose="020B0503020102020204" pitchFamily="34" charset="0"/>
            <a:ea typeface="+mn-ea"/>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123824</xdr:rowOff>
    </xdr:from>
    <xdr:ext cx="5421746" cy="1584325"/>
    <xdr:sp macro="" textlink="">
      <xdr:nvSpPr>
        <xdr:cNvPr id="4" name="TextBox 3">
          <a:extLst>
            <a:ext uri="{FF2B5EF4-FFF2-40B4-BE49-F238E27FC236}">
              <a16:creationId xmlns:a16="http://schemas.microsoft.com/office/drawing/2014/main" id="{2778380F-52D8-4110-89EF-790686285D16}"/>
            </a:ext>
          </a:extLst>
        </xdr:cNvPr>
        <xdr:cNvSpPr txBox="1"/>
      </xdr:nvSpPr>
      <xdr:spPr>
        <a:xfrm>
          <a:off x="0" y="314324"/>
          <a:ext cx="5421746" cy="1584325"/>
        </a:xfrm>
        <a:prstGeom prst="rect">
          <a:avLst/>
        </a:prstGeom>
        <a:solidFill>
          <a:schemeClr val="accent4">
            <a:lumMod val="20000"/>
            <a:lumOff val="80000"/>
          </a:schemeClr>
        </a:solidFill>
        <a:ln w="12700" cmpd="dbl">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Franklin Gothic Book" panose="020B0503020102020204" pitchFamily="34" charset="0"/>
              <a:ea typeface="+mn-ea"/>
              <a:cs typeface="+mn-cs"/>
            </a:rPr>
            <a:t>Disclaimer:</a:t>
          </a:r>
        </a:p>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tx1"/>
              </a:solidFill>
              <a:effectLst/>
              <a:latin typeface="Franklin Gothic Book" panose="020B0503020102020204" pitchFamily="34" charset="0"/>
              <a:ea typeface="+mn-ea"/>
              <a:cs typeface="+mn-cs"/>
            </a:rPr>
            <a:t>The publication of the material contained herein is not intended as a representation or warranty on the part of the American Iron and Steel Institute, or of any other person named herein.  The materials set forth herein are for general information only. They are not a substitute for competent professional advice. Application of this information to a specific project should be reviewed by </a:t>
          </a:r>
          <a:r>
            <a:rPr lang="en-US" sz="900">
              <a:solidFill>
                <a:schemeClr val="tx1"/>
              </a:solidFill>
              <a:effectLst/>
              <a:latin typeface="+mn-lt"/>
              <a:ea typeface="+mn-ea"/>
              <a:cs typeface="+mn-cs"/>
            </a:rPr>
            <a:t>a design professional. Indeed, in many jurisdictions, such review is required by law. </a:t>
          </a:r>
          <a:r>
            <a:rPr lang="en-US" sz="900">
              <a:solidFill>
                <a:schemeClr val="tx1"/>
              </a:solidFill>
              <a:effectLst/>
              <a:latin typeface="Franklin Gothic Book" panose="020B0503020102020204" pitchFamily="34" charset="0"/>
              <a:ea typeface="+mn-ea"/>
              <a:cs typeface="+mn-cs"/>
            </a:rPr>
            <a:t>Anyone making use of the information set forth herein does so at their own risk and assumes any and all resulting liability arising therefrom.</a:t>
          </a:r>
        </a:p>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tx1"/>
              </a:solidFill>
              <a:effectLst/>
              <a:latin typeface="Franklin Gothic Book" panose="020B0503020102020204" pitchFamily="34" charset="0"/>
              <a:ea typeface="+mn-ea"/>
              <a:cs typeface="+mn-cs"/>
            </a:rPr>
            <a:t>With anticipated improvements in understanding of the behavior of cold-formed steel and the continuing development of new technology, this material may eventually become dated. It is anticipated that future editions of this </a:t>
          </a:r>
          <a:r>
            <a:rPr lang="en-US" sz="900" i="0">
              <a:solidFill>
                <a:schemeClr val="tx1"/>
              </a:solidFill>
              <a:effectLst/>
              <a:latin typeface="Franklin Gothic Book" panose="020B0503020102020204" pitchFamily="34" charset="0"/>
              <a:ea typeface="+mn-ea"/>
              <a:cs typeface="+mn-cs"/>
            </a:rPr>
            <a:t>spreadsheet</a:t>
          </a:r>
          <a:r>
            <a:rPr lang="en-US" sz="900">
              <a:solidFill>
                <a:schemeClr val="tx1"/>
              </a:solidFill>
              <a:effectLst/>
              <a:latin typeface="Franklin Gothic Book" panose="020B0503020102020204" pitchFamily="34" charset="0"/>
              <a:ea typeface="+mn-ea"/>
              <a:cs typeface="+mn-cs"/>
            </a:rPr>
            <a:t> will update this material as new information becomes available, but this cannot be guaranteed.</a:t>
          </a:r>
        </a:p>
        <a:p>
          <a:pPr marL="0" marR="0" lvl="0" indent="0" defTabSz="914400" eaLnBrk="1" fontAlgn="auto" latinLnBrk="0" hangingPunct="1">
            <a:lnSpc>
              <a:spcPct val="100000"/>
            </a:lnSpc>
            <a:spcBef>
              <a:spcPts val="0"/>
            </a:spcBef>
            <a:spcAft>
              <a:spcPts val="0"/>
            </a:spcAft>
            <a:buClrTx/>
            <a:buSzTx/>
            <a:buFontTx/>
            <a:buNone/>
            <a:tabLst/>
            <a:defRPr/>
          </a:pPr>
          <a:endParaRPr lang="en-US" sz="900">
            <a:solidFill>
              <a:schemeClr val="tx1"/>
            </a:solidFill>
            <a:effectLst/>
            <a:latin typeface="Franklin Gothic Book" panose="020B0503020102020204" pitchFamily="34" charset="0"/>
            <a:ea typeface="+mn-ea"/>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9525</xdr:colOff>
      <xdr:row>1</xdr:row>
      <xdr:rowOff>69849</xdr:rowOff>
    </xdr:from>
    <xdr:ext cx="5421746" cy="1584325"/>
    <xdr:sp macro="" textlink="">
      <xdr:nvSpPr>
        <xdr:cNvPr id="3" name="TextBox 2">
          <a:extLst>
            <a:ext uri="{FF2B5EF4-FFF2-40B4-BE49-F238E27FC236}">
              <a16:creationId xmlns:a16="http://schemas.microsoft.com/office/drawing/2014/main" id="{1AF30A7F-F743-4239-ADE3-00CEBBB705C6}"/>
            </a:ext>
          </a:extLst>
        </xdr:cNvPr>
        <xdr:cNvSpPr txBox="1"/>
      </xdr:nvSpPr>
      <xdr:spPr>
        <a:xfrm>
          <a:off x="9525" y="260349"/>
          <a:ext cx="5421746" cy="1584325"/>
        </a:xfrm>
        <a:prstGeom prst="rect">
          <a:avLst/>
        </a:prstGeom>
        <a:solidFill>
          <a:schemeClr val="accent4">
            <a:lumMod val="20000"/>
            <a:lumOff val="80000"/>
          </a:schemeClr>
        </a:solidFill>
        <a:ln w="12700" cmpd="dbl">
          <a:solidFill>
            <a:schemeClr val="accent2">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Franklin Gothic Book" panose="020B0503020102020204" pitchFamily="34" charset="0"/>
              <a:ea typeface="+mn-ea"/>
              <a:cs typeface="+mn-cs"/>
            </a:rPr>
            <a:t>Disclaimer:</a:t>
          </a:r>
        </a:p>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tx1"/>
              </a:solidFill>
              <a:effectLst/>
              <a:latin typeface="Franklin Gothic Book" panose="020B0503020102020204" pitchFamily="34" charset="0"/>
              <a:ea typeface="+mn-ea"/>
              <a:cs typeface="+mn-cs"/>
            </a:rPr>
            <a:t>The publication of the material contained herein is not intended as a representation or warranty on the part of the American Iron and Steel Institute, or of any other person named herein.  The materials set forth herein are for general information only. They are not a substitute for competent professional advice. Application of this information to a specific project should be reviewed by a registered professional. Indeed,</a:t>
          </a:r>
          <a:r>
            <a:rPr lang="en-US" sz="900" baseline="0">
              <a:solidFill>
                <a:schemeClr val="tx1"/>
              </a:solidFill>
              <a:effectLst/>
              <a:latin typeface="Franklin Gothic Book" panose="020B0503020102020204" pitchFamily="34" charset="0"/>
              <a:ea typeface="+mn-ea"/>
              <a:cs typeface="+mn-cs"/>
            </a:rPr>
            <a:t> in many jurisdictions, such review is required by law. </a:t>
          </a:r>
          <a:r>
            <a:rPr lang="en-US" sz="900">
              <a:solidFill>
                <a:schemeClr val="tx1"/>
              </a:solidFill>
              <a:effectLst/>
              <a:latin typeface="Franklin Gothic Book" panose="020B0503020102020204" pitchFamily="34" charset="0"/>
              <a:ea typeface="+mn-ea"/>
              <a:cs typeface="+mn-cs"/>
            </a:rPr>
            <a:t>Anyone making use of the information set forth herein does so at their own risk and assumes any and all resulting liability arising therefrom.</a:t>
          </a:r>
        </a:p>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tx1"/>
              </a:solidFill>
              <a:effectLst/>
              <a:latin typeface="Franklin Gothic Book" panose="020B0503020102020204" pitchFamily="34" charset="0"/>
              <a:ea typeface="+mn-ea"/>
              <a:cs typeface="+mn-cs"/>
            </a:rPr>
            <a:t>With anticipated improvements in understanding of the behavior of cold-formed steel and the continuing development of new technology, this material may eventually become dated. It is anticipated that future editions of this </a:t>
          </a:r>
          <a:r>
            <a:rPr lang="en-US" sz="900" i="0">
              <a:solidFill>
                <a:schemeClr val="tx1"/>
              </a:solidFill>
              <a:effectLst/>
              <a:latin typeface="Franklin Gothic Book" panose="020B0503020102020204" pitchFamily="34" charset="0"/>
              <a:ea typeface="+mn-ea"/>
              <a:cs typeface="+mn-cs"/>
            </a:rPr>
            <a:t>spreadsheet</a:t>
          </a:r>
          <a:r>
            <a:rPr lang="en-US" sz="900">
              <a:solidFill>
                <a:schemeClr val="tx1"/>
              </a:solidFill>
              <a:effectLst/>
              <a:latin typeface="Franklin Gothic Book" panose="020B0503020102020204" pitchFamily="34" charset="0"/>
              <a:ea typeface="+mn-ea"/>
              <a:cs typeface="+mn-cs"/>
            </a:rPr>
            <a:t> will update this material as new information becomes available, but this cannot be guaranteed.</a:t>
          </a:r>
        </a:p>
        <a:p>
          <a:pPr marL="0" marR="0" lvl="0" indent="0" defTabSz="914400" eaLnBrk="1" fontAlgn="auto" latinLnBrk="0" hangingPunct="1">
            <a:lnSpc>
              <a:spcPct val="100000"/>
            </a:lnSpc>
            <a:spcBef>
              <a:spcPts val="0"/>
            </a:spcBef>
            <a:spcAft>
              <a:spcPts val="0"/>
            </a:spcAft>
            <a:buClrTx/>
            <a:buSzTx/>
            <a:buFontTx/>
            <a:buNone/>
            <a:tabLst/>
            <a:defRPr/>
          </a:pPr>
          <a:endParaRPr lang="en-US" sz="900">
            <a:solidFill>
              <a:schemeClr val="tx1"/>
            </a:solidFill>
            <a:effectLst/>
            <a:latin typeface="Franklin Gothic Book" panose="020B0503020102020204" pitchFamily="34" charset="0"/>
            <a:ea typeface="+mn-ea"/>
            <a:cs typeface="+mn-cs"/>
          </a:endParaRP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EA9AF-B4B5-4019-B21D-1DAFE89AD0D0}">
  <dimension ref="A1:K60"/>
  <sheetViews>
    <sheetView tabSelected="1" topLeftCell="A47" zoomScaleNormal="100" workbookViewId="0">
      <selection activeCell="B20" sqref="B20"/>
    </sheetView>
  </sheetViews>
  <sheetFormatPr defaultColWidth="8.77734375" defaultRowHeight="14.4" x14ac:dyDescent="0.3"/>
  <cols>
    <col min="1" max="1" width="37.88671875" customWidth="1"/>
    <col min="2" max="2" width="26.21875" customWidth="1"/>
    <col min="3" max="3" width="9.44140625" customWidth="1"/>
  </cols>
  <sheetData>
    <row r="1" spans="1:11" s="69" customFormat="1" ht="21" customHeight="1" x14ac:dyDescent="0.35">
      <c r="A1" s="68" t="s">
        <v>173</v>
      </c>
    </row>
    <row r="2" spans="1:11" s="69" customFormat="1" ht="21" customHeight="1" x14ac:dyDescent="0.35">
      <c r="A2" s="68" t="s">
        <v>59</v>
      </c>
    </row>
    <row r="3" spans="1:11" s="69" customFormat="1" ht="21" customHeight="1" x14ac:dyDescent="0.35">
      <c r="A3" s="70" t="s">
        <v>54</v>
      </c>
      <c r="B3" s="92">
        <v>44665</v>
      </c>
    </row>
    <row r="4" spans="1:11" s="69" customFormat="1" ht="21" customHeight="1" x14ac:dyDescent="0.35">
      <c r="A4" s="70" t="s">
        <v>55</v>
      </c>
      <c r="B4" s="93" t="s">
        <v>61</v>
      </c>
    </row>
    <row r="5" spans="1:11" s="69" customFormat="1" ht="21" customHeight="1" x14ac:dyDescent="0.35">
      <c r="A5" s="70" t="s">
        <v>56</v>
      </c>
      <c r="B5" s="93" t="s">
        <v>62</v>
      </c>
    </row>
    <row r="6" spans="1:11" s="69" customFormat="1" ht="21" customHeight="1" x14ac:dyDescent="0.35">
      <c r="A6" s="70" t="s">
        <v>57</v>
      </c>
      <c r="B6" s="93" t="s">
        <v>196</v>
      </c>
    </row>
    <row r="7" spans="1:11" s="69" customFormat="1" ht="21" customHeight="1" x14ac:dyDescent="0.35">
      <c r="A7" s="70" t="s">
        <v>58</v>
      </c>
      <c r="B7" s="93" t="s">
        <v>64</v>
      </c>
      <c r="K7" s="71"/>
    </row>
    <row r="8" spans="1:11" s="69" customFormat="1" ht="21" customHeight="1" x14ac:dyDescent="0.45">
      <c r="A8" s="70"/>
      <c r="B8" s="98"/>
      <c r="C8" s="98"/>
      <c r="E8" s="72" t="s">
        <v>179</v>
      </c>
      <c r="K8" s="71"/>
    </row>
    <row r="9" spans="1:11" s="69" customFormat="1" ht="21" customHeight="1" x14ac:dyDescent="0.45">
      <c r="A9" s="70" t="s">
        <v>174</v>
      </c>
      <c r="E9" s="72" t="s">
        <v>172</v>
      </c>
      <c r="K9" s="71"/>
    </row>
    <row r="10" spans="1:11" s="69" customFormat="1" ht="21" customHeight="1" x14ac:dyDescent="0.35">
      <c r="A10" s="70" t="s">
        <v>175</v>
      </c>
      <c r="K10" s="71"/>
    </row>
    <row r="11" spans="1:11" s="69" customFormat="1" ht="21" customHeight="1" x14ac:dyDescent="0.35">
      <c r="A11" s="70" t="s">
        <v>60</v>
      </c>
      <c r="D11" s="72"/>
      <c r="K11" s="71"/>
    </row>
    <row r="12" spans="1:11" s="69" customFormat="1" ht="21" customHeight="1" x14ac:dyDescent="0.35">
      <c r="A12" s="72" t="s">
        <v>50</v>
      </c>
      <c r="K12" s="71"/>
    </row>
    <row r="13" spans="1:11" s="69" customFormat="1" ht="21" customHeight="1" x14ac:dyDescent="0.35">
      <c r="A13" s="73" t="s">
        <v>53</v>
      </c>
      <c r="K13" s="71"/>
    </row>
    <row r="14" spans="1:11" s="69" customFormat="1" ht="21" customHeight="1" x14ac:dyDescent="0.3">
      <c r="B14" s="101"/>
      <c r="C14" s="101"/>
    </row>
    <row r="15" spans="1:11" s="69" customFormat="1" ht="21" customHeight="1" x14ac:dyDescent="0.35">
      <c r="A15" s="72" t="s">
        <v>17</v>
      </c>
      <c r="B15" s="101"/>
      <c r="C15" s="101"/>
    </row>
    <row r="16" spans="1:11" s="69" customFormat="1" ht="21" customHeight="1" x14ac:dyDescent="0.35">
      <c r="A16" s="70" t="s">
        <v>176</v>
      </c>
      <c r="B16" s="74" t="s">
        <v>18</v>
      </c>
      <c r="C16" s="11"/>
    </row>
    <row r="17" spans="1:10" s="69" customFormat="1" ht="21" customHeight="1" x14ac:dyDescent="0.35">
      <c r="A17" s="70" t="s">
        <v>164</v>
      </c>
      <c r="B17" s="74">
        <v>16</v>
      </c>
      <c r="C17" s="11" t="s">
        <v>19</v>
      </c>
      <c r="D17" s="70"/>
    </row>
    <row r="18" spans="1:10" s="69" customFormat="1" ht="21" customHeight="1" x14ac:dyDescent="0.35">
      <c r="A18" s="70" t="s">
        <v>162</v>
      </c>
      <c r="B18" s="76">
        <v>33</v>
      </c>
      <c r="C18" s="11" t="s">
        <v>35</v>
      </c>
      <c r="D18" s="97" t="str">
        <f>IF(B18&gt;68,"&lt;-Thickness Beyond Limit","")</f>
        <v/>
      </c>
    </row>
    <row r="19" spans="1:10" s="69" customFormat="1" ht="21" customHeight="1" x14ac:dyDescent="0.35">
      <c r="A19" s="70" t="s">
        <v>163</v>
      </c>
      <c r="B19" s="74">
        <v>6</v>
      </c>
      <c r="C19" s="11" t="s">
        <v>19</v>
      </c>
    </row>
    <row r="20" spans="1:10" s="69" customFormat="1" ht="21" customHeight="1" x14ac:dyDescent="0.45">
      <c r="A20" s="70" t="s">
        <v>95</v>
      </c>
      <c r="B20" s="74">
        <v>1.625</v>
      </c>
      <c r="C20" s="11" t="s">
        <v>19</v>
      </c>
      <c r="D20" s="70"/>
    </row>
    <row r="21" spans="1:10" s="69" customFormat="1" ht="31.5" customHeight="1" x14ac:dyDescent="0.45">
      <c r="A21" s="75" t="s">
        <v>177</v>
      </c>
      <c r="B21" s="76">
        <v>6</v>
      </c>
      <c r="C21" s="11" t="s">
        <v>19</v>
      </c>
      <c r="D21" s="70"/>
    </row>
    <row r="22" spans="1:10" s="69" customFormat="1" ht="21" customHeight="1" x14ac:dyDescent="0.45">
      <c r="A22" s="70" t="s">
        <v>96</v>
      </c>
      <c r="B22" s="70">
        <f>B19-B21</f>
        <v>0</v>
      </c>
      <c r="C22" s="11" t="s">
        <v>19</v>
      </c>
      <c r="D22" s="70"/>
    </row>
    <row r="23" spans="1:10" s="69" customFormat="1" ht="21" customHeight="1" x14ac:dyDescent="0.35">
      <c r="A23" s="70" t="s">
        <v>41</v>
      </c>
      <c r="B23" s="96">
        <f>'S250 Tables'!T19</f>
        <v>381</v>
      </c>
      <c r="C23" s="11" t="s">
        <v>123</v>
      </c>
      <c r="D23" s="70" t="s">
        <v>26</v>
      </c>
    </row>
    <row r="24" spans="1:10" s="69" customFormat="1" ht="21" customHeight="1" x14ac:dyDescent="0.45">
      <c r="A24" s="70" t="s">
        <v>97</v>
      </c>
      <c r="B24" s="70">
        <v>0.17</v>
      </c>
      <c r="C24" s="11" t="s">
        <v>45</v>
      </c>
      <c r="D24" s="70"/>
    </row>
    <row r="25" spans="1:10" s="69" customFormat="1" ht="21" customHeight="1" x14ac:dyDescent="0.45">
      <c r="A25" s="70" t="s">
        <v>98</v>
      </c>
      <c r="B25" s="76">
        <v>7.0000000000000007E-2</v>
      </c>
      <c r="C25" s="11" t="s">
        <v>45</v>
      </c>
      <c r="D25" s="70"/>
    </row>
    <row r="26" spans="1:10" s="69" customFormat="1" ht="21" customHeight="1" x14ac:dyDescent="0.45">
      <c r="A26" s="70" t="s">
        <v>99</v>
      </c>
      <c r="B26" s="76">
        <v>6</v>
      </c>
      <c r="C26" s="11" t="s">
        <v>45</v>
      </c>
      <c r="D26" s="70"/>
    </row>
    <row r="27" spans="1:10" s="69" customFormat="1" ht="21" customHeight="1" x14ac:dyDescent="0.45">
      <c r="A27" s="70" t="s">
        <v>100</v>
      </c>
      <c r="B27" s="76">
        <v>0.56000000000000005</v>
      </c>
      <c r="C27" s="11" t="s">
        <v>45</v>
      </c>
      <c r="D27" s="70"/>
    </row>
    <row r="28" spans="1:10" s="69" customFormat="1" ht="21" customHeight="1" x14ac:dyDescent="0.45">
      <c r="A28" s="75" t="s">
        <v>101</v>
      </c>
      <c r="B28" s="76">
        <v>19</v>
      </c>
      <c r="C28" s="11" t="s">
        <v>45</v>
      </c>
      <c r="D28" s="70"/>
      <c r="J28" s="71"/>
    </row>
    <row r="29" spans="1:10" s="69" customFormat="1" ht="21" customHeight="1" x14ac:dyDescent="0.45">
      <c r="A29" s="75" t="s">
        <v>102</v>
      </c>
      <c r="B29" s="70">
        <f>IF(B22&gt;0, 0.91, 0)</f>
        <v>0</v>
      </c>
      <c r="C29" s="11" t="s">
        <v>45</v>
      </c>
      <c r="D29" s="70"/>
    </row>
    <row r="30" spans="1:10" s="69" customFormat="1" ht="21" customHeight="1" x14ac:dyDescent="0.45">
      <c r="A30" s="70" t="s">
        <v>103</v>
      </c>
      <c r="B30" s="70">
        <f>IF(B22&gt;0, B28+B29,IF(B28=0,B29,B28))</f>
        <v>19</v>
      </c>
      <c r="C30" s="11" t="s">
        <v>45</v>
      </c>
      <c r="D30" s="70"/>
    </row>
    <row r="31" spans="1:10" s="69" customFormat="1" ht="21" customHeight="1" x14ac:dyDescent="0.45">
      <c r="A31" s="70" t="s">
        <v>178</v>
      </c>
      <c r="B31" s="76">
        <v>0.56000000000000005</v>
      </c>
      <c r="C31" s="11" t="s">
        <v>45</v>
      </c>
      <c r="D31" s="70"/>
    </row>
    <row r="32" spans="1:10" s="69" customFormat="1" ht="21" customHeight="1" x14ac:dyDescent="0.45">
      <c r="A32" s="70" t="s">
        <v>104</v>
      </c>
      <c r="B32" s="70">
        <v>0.68</v>
      </c>
      <c r="C32" s="11" t="s">
        <v>45</v>
      </c>
      <c r="D32" s="70"/>
    </row>
    <row r="33" spans="1:7" s="69" customFormat="1" ht="21" customHeight="1" x14ac:dyDescent="0.35">
      <c r="A33" s="70"/>
      <c r="B33" s="70"/>
      <c r="C33" s="11"/>
      <c r="D33" s="70"/>
    </row>
    <row r="34" spans="1:7" s="69" customFormat="1" ht="21" customHeight="1" x14ac:dyDescent="0.35">
      <c r="A34" s="72" t="s">
        <v>20</v>
      </c>
      <c r="B34" s="70"/>
      <c r="C34" s="11"/>
      <c r="D34" s="70"/>
    </row>
    <row r="35" spans="1:7" s="69" customFormat="1" ht="21" customHeight="1" x14ac:dyDescent="0.45">
      <c r="A35" s="70" t="s">
        <v>105</v>
      </c>
      <c r="B35" s="70">
        <f>'S250 Tables'!N19</f>
        <v>2.2770999999999999</v>
      </c>
      <c r="C35" s="11"/>
      <c r="D35" s="70"/>
    </row>
    <row r="36" spans="1:7" s="69" customFormat="1" ht="21" customHeight="1" x14ac:dyDescent="0.45">
      <c r="A36" s="70" t="s">
        <v>106</v>
      </c>
      <c r="B36" s="70">
        <f>'S250 Tables'!O19</f>
        <v>3.8429999999999999E-2</v>
      </c>
      <c r="C36" s="11"/>
      <c r="D36" s="70"/>
    </row>
    <row r="37" spans="1:7" s="69" customFormat="1" ht="21" customHeight="1" x14ac:dyDescent="0.45">
      <c r="A37" s="70" t="s">
        <v>107</v>
      </c>
      <c r="B37" s="70">
        <f>'S250 Tables'!P19</f>
        <v>0.19639999999999999</v>
      </c>
      <c r="C37" s="11"/>
      <c r="D37" s="70"/>
    </row>
    <row r="38" spans="1:7" s="69" customFormat="1" ht="21" customHeight="1" x14ac:dyDescent="0.45">
      <c r="A38" s="70" t="s">
        <v>108</v>
      </c>
      <c r="B38" s="70">
        <f>'S250 Tables'!Q19</f>
        <v>-1.1410000000000001E-3</v>
      </c>
      <c r="C38" s="11"/>
      <c r="D38" s="70"/>
    </row>
    <row r="39" spans="1:7" s="69" customFormat="1" ht="21" customHeight="1" x14ac:dyDescent="0.45">
      <c r="A39" s="70" t="s">
        <v>109</v>
      </c>
      <c r="B39" s="70">
        <f>'S250 Tables'!R19</f>
        <v>-5.2370000000000003E-3</v>
      </c>
      <c r="C39" s="11"/>
      <c r="D39" s="70"/>
    </row>
    <row r="40" spans="1:7" s="69" customFormat="1" ht="21" customHeight="1" x14ac:dyDescent="0.45">
      <c r="A40" s="70" t="s">
        <v>110</v>
      </c>
      <c r="B40" s="70">
        <f>'S250 Tables'!S19</f>
        <v>3.1970000000000002E-3</v>
      </c>
      <c r="C40" s="11"/>
      <c r="D40" s="70"/>
    </row>
    <row r="41" spans="1:7" s="69" customFormat="1" ht="21" customHeight="1" x14ac:dyDescent="0.35">
      <c r="A41" s="70" t="s">
        <v>24</v>
      </c>
      <c r="B41" s="79">
        <f>B35+B36*B30+B37*B26+B38*B30^2+B39*B26^2+B40*B30*B26</f>
        <v>3.9496950000000002</v>
      </c>
      <c r="C41" s="11" t="s">
        <v>19</v>
      </c>
      <c r="D41" s="70" t="s">
        <v>25</v>
      </c>
      <c r="F41" s="69" t="s">
        <v>40</v>
      </c>
      <c r="G41" s="69" t="s">
        <v>40</v>
      </c>
    </row>
    <row r="42" spans="1:7" s="69" customFormat="1" ht="21" customHeight="1" x14ac:dyDescent="0.35">
      <c r="A42" s="72"/>
      <c r="B42" s="70"/>
      <c r="C42" s="11"/>
      <c r="D42" s="70"/>
    </row>
    <row r="43" spans="1:7" s="69" customFormat="1" ht="21" customHeight="1" x14ac:dyDescent="0.45">
      <c r="A43" s="70" t="s">
        <v>111</v>
      </c>
      <c r="B43" s="78">
        <f>(B18/1000)/B20</f>
        <v>2.0307692307692308E-2</v>
      </c>
      <c r="C43" s="11"/>
      <c r="D43" s="70" t="s">
        <v>22</v>
      </c>
    </row>
    <row r="44" spans="1:7" s="69" customFormat="1" ht="21" customHeight="1" x14ac:dyDescent="0.3">
      <c r="C44" s="6"/>
    </row>
    <row r="45" spans="1:7" s="69" customFormat="1" ht="21" customHeight="1" x14ac:dyDescent="0.45">
      <c r="A45" s="70" t="s">
        <v>112</v>
      </c>
      <c r="B45" s="79">
        <f>B21/B23</f>
        <v>1.5748031496062992E-2</v>
      </c>
      <c r="C45" s="11" t="s">
        <v>45</v>
      </c>
      <c r="D45" s="70" t="s">
        <v>21</v>
      </c>
    </row>
    <row r="46" spans="1:7" s="69" customFormat="1" ht="21" customHeight="1" x14ac:dyDescent="0.35">
      <c r="A46" s="70"/>
      <c r="B46" s="78"/>
      <c r="C46" s="11"/>
      <c r="D46" s="70"/>
    </row>
    <row r="47" spans="1:7" s="69" customFormat="1" ht="21" customHeight="1" x14ac:dyDescent="0.45">
      <c r="A47" s="70" t="s">
        <v>113</v>
      </c>
      <c r="B47" s="80">
        <f>IF(B21=0,0,(1-B43)/B28+B43/B45)</f>
        <v>1.3411012145748988</v>
      </c>
      <c r="C47" s="11" t="s">
        <v>123</v>
      </c>
      <c r="D47" s="70" t="s">
        <v>27</v>
      </c>
    </row>
    <row r="48" spans="1:7" s="69" customFormat="1" ht="21" customHeight="1" x14ac:dyDescent="0.45">
      <c r="A48" s="70" t="s">
        <v>114</v>
      </c>
      <c r="B48" s="80">
        <f>IF(B47=0,0,1/B47)</f>
        <v>0.74565587528528132</v>
      </c>
      <c r="C48" s="11" t="s">
        <v>45</v>
      </c>
      <c r="D48" s="70" t="s">
        <v>28</v>
      </c>
    </row>
    <row r="49" spans="1:4" s="69" customFormat="1" ht="21" customHeight="1" x14ac:dyDescent="0.45">
      <c r="A49" s="70" t="s">
        <v>115</v>
      </c>
      <c r="B49" s="80">
        <v>0.91</v>
      </c>
      <c r="C49" s="11" t="s">
        <v>45</v>
      </c>
      <c r="D49" s="70"/>
    </row>
    <row r="50" spans="1:4" s="69" customFormat="1" ht="21" customHeight="1" x14ac:dyDescent="0.45">
      <c r="A50" s="70" t="s">
        <v>116</v>
      </c>
      <c r="B50" s="80">
        <f>IF(B22&gt;0, (1-B43)/B49+B43/(B22/B23),0)</f>
        <v>0</v>
      </c>
      <c r="C50" s="11" t="s">
        <v>123</v>
      </c>
      <c r="D50" s="70" t="s">
        <v>23</v>
      </c>
    </row>
    <row r="51" spans="1:4" s="69" customFormat="1" ht="21" customHeight="1" x14ac:dyDescent="0.45">
      <c r="A51" s="70" t="s">
        <v>117</v>
      </c>
      <c r="B51" s="80">
        <f>IF(B50=0, 0, 1/B50)</f>
        <v>0</v>
      </c>
      <c r="C51" s="11" t="s">
        <v>45</v>
      </c>
      <c r="D51" s="70" t="s">
        <v>29</v>
      </c>
    </row>
    <row r="52" spans="1:4" s="69" customFormat="1" ht="21" customHeight="1" x14ac:dyDescent="0.45">
      <c r="A52" s="70" t="s">
        <v>118</v>
      </c>
      <c r="B52" s="77">
        <f>B48+B51</f>
        <v>0.74565587528528132</v>
      </c>
      <c r="C52" s="11" t="s">
        <v>45</v>
      </c>
      <c r="D52" s="70" t="s">
        <v>30</v>
      </c>
    </row>
    <row r="53" spans="1:4" s="69" customFormat="1" ht="21" customHeight="1" x14ac:dyDescent="0.35">
      <c r="A53" s="70"/>
      <c r="B53" s="80"/>
      <c r="C53" s="11"/>
      <c r="D53" s="70"/>
    </row>
    <row r="54" spans="1:4" s="69" customFormat="1" ht="21" customHeight="1" x14ac:dyDescent="0.45">
      <c r="A54" s="70" t="s">
        <v>119</v>
      </c>
      <c r="B54" s="77">
        <f>B24+B25+B26+B27+B52+B31+B32</f>
        <v>8.7856558752852827</v>
      </c>
      <c r="C54" s="11"/>
      <c r="D54" s="70" t="s">
        <v>31</v>
      </c>
    </row>
    <row r="55" spans="1:4" s="69" customFormat="1" ht="21" customHeight="1" x14ac:dyDescent="0.45">
      <c r="A55" s="70" t="s">
        <v>120</v>
      </c>
      <c r="B55" s="77">
        <f>B24+B25+B26+B27+B28+B29+B31+B32</f>
        <v>27.04</v>
      </c>
      <c r="C55" s="11"/>
      <c r="D55" s="70" t="s">
        <v>32</v>
      </c>
    </row>
    <row r="56" spans="1:4" s="69" customFormat="1" ht="21" customHeight="1" x14ac:dyDescent="0.35">
      <c r="A56" s="70"/>
      <c r="B56" s="80"/>
      <c r="C56" s="11"/>
      <c r="D56" s="70"/>
    </row>
    <row r="57" spans="1:4" s="69" customFormat="1" ht="21" customHeight="1" x14ac:dyDescent="0.45">
      <c r="A57" s="70" t="s">
        <v>121</v>
      </c>
      <c r="B57" s="80">
        <f>B41/B17</f>
        <v>0.24685593750000001</v>
      </c>
      <c r="C57" s="11"/>
      <c r="D57" s="70" t="s">
        <v>33</v>
      </c>
    </row>
    <row r="58" spans="1:4" s="69" customFormat="1" ht="21" customHeight="1" x14ac:dyDescent="0.35">
      <c r="A58" s="70"/>
      <c r="B58" s="80"/>
      <c r="C58" s="11"/>
      <c r="D58" s="70"/>
    </row>
    <row r="59" spans="1:4" s="69" customFormat="1" ht="21" customHeight="1" x14ac:dyDescent="0.45">
      <c r="A59" s="72" t="s">
        <v>122</v>
      </c>
      <c r="B59" s="77">
        <f>(1-B57)/B55+B57/B54</f>
        <v>5.5950571474270835E-2</v>
      </c>
      <c r="C59" s="11" t="s">
        <v>123</v>
      </c>
      <c r="D59" s="70" t="s">
        <v>34</v>
      </c>
    </row>
    <row r="60" spans="1:4" x14ac:dyDescent="0.3">
      <c r="C60" s="6"/>
      <c r="D60" s="6"/>
    </row>
  </sheetData>
  <sheetProtection algorithmName="SHA-512" hashValue="qisNCrWZQuwCcqJ47/Z1fj+jGTDvoBoRRA0pfLp9kZ4hiAtxKfRWJ73+4XKz0McCQbTZBqn+wQbFzBQIhv4FkQ==" saltValue="NbVg/QlrBq8TGjDy6nR8Gw==" spinCount="100000" sheet="1" selectLockedCells="1"/>
  <protectedRanges>
    <protectedRange sqref="B16:B17 B21" name="Input 1"/>
    <protectedRange sqref="B28" name="Input 2"/>
    <protectedRange sqref="B31 B26:B27" name="Input 3"/>
    <protectedRange sqref="B25" name="Input 4"/>
    <protectedRange sqref="B3:B7" name="Input 5"/>
  </protectedRanges>
  <mergeCells count="2">
    <mergeCell ref="B15:C15"/>
    <mergeCell ref="B14:C14"/>
  </mergeCells>
  <pageMargins left="0.25" right="0.25"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8EF87-70DC-4307-AB6B-D359CE6C1775}">
  <dimension ref="A1:F43"/>
  <sheetViews>
    <sheetView topLeftCell="A10" workbookViewId="0">
      <selection activeCell="C35" sqref="C35"/>
    </sheetView>
  </sheetViews>
  <sheetFormatPr defaultRowHeight="14.4" x14ac:dyDescent="0.3"/>
  <cols>
    <col min="1" max="1" width="31.88671875" customWidth="1"/>
    <col min="2" max="2" width="13.88671875" customWidth="1"/>
  </cols>
  <sheetData>
    <row r="1" spans="1:3" x14ac:dyDescent="0.3">
      <c r="A1" s="37" t="s">
        <v>180</v>
      </c>
      <c r="B1" s="6"/>
      <c r="C1" s="6"/>
    </row>
    <row r="2" spans="1:3" x14ac:dyDescent="0.3">
      <c r="A2" s="37"/>
      <c r="B2" s="6"/>
      <c r="C2" s="6"/>
    </row>
    <row r="3" spans="1:3" x14ac:dyDescent="0.3">
      <c r="A3" s="37"/>
      <c r="B3" s="6"/>
      <c r="C3" s="6"/>
    </row>
    <row r="4" spans="1:3" x14ac:dyDescent="0.3">
      <c r="A4" s="37"/>
      <c r="B4" s="6"/>
      <c r="C4" s="6"/>
    </row>
    <row r="5" spans="1:3" x14ac:dyDescent="0.3">
      <c r="A5" s="37"/>
      <c r="B5" s="6"/>
      <c r="C5" s="6"/>
    </row>
    <row r="6" spans="1:3" x14ac:dyDescent="0.3">
      <c r="A6" s="37"/>
      <c r="B6" s="6"/>
      <c r="C6" s="6"/>
    </row>
    <row r="7" spans="1:3" x14ac:dyDescent="0.3">
      <c r="A7" s="37"/>
      <c r="B7" s="6"/>
      <c r="C7" s="6"/>
    </row>
    <row r="8" spans="1:3" x14ac:dyDescent="0.3">
      <c r="A8" s="37"/>
      <c r="B8" s="6"/>
      <c r="C8" s="6"/>
    </row>
    <row r="9" spans="1:3" x14ac:dyDescent="0.3">
      <c r="A9" s="37"/>
      <c r="B9" s="6"/>
      <c r="C9" s="6"/>
    </row>
    <row r="10" spans="1:3" x14ac:dyDescent="0.3">
      <c r="A10" s="37"/>
      <c r="B10" s="6"/>
      <c r="C10" s="6"/>
    </row>
    <row r="11" spans="1:3" x14ac:dyDescent="0.3">
      <c r="A11" s="11" t="s">
        <v>54</v>
      </c>
      <c r="B11" s="102">
        <f>'Wall Calculator'!$B$3</f>
        <v>44665</v>
      </c>
      <c r="C11" s="103"/>
    </row>
    <row r="12" spans="1:3" x14ac:dyDescent="0.3">
      <c r="A12" s="11" t="s">
        <v>55</v>
      </c>
      <c r="B12" s="103" t="str">
        <f>'Wall Calculator'!$B$4</f>
        <v>H. Chen</v>
      </c>
      <c r="C12" s="103"/>
    </row>
    <row r="13" spans="1:3" x14ac:dyDescent="0.3">
      <c r="A13" s="11" t="s">
        <v>56</v>
      </c>
      <c r="B13" s="103" t="str">
        <f>'Wall Calculator'!$B$5</f>
        <v>AISI, Washington DC</v>
      </c>
      <c r="C13" s="103"/>
    </row>
    <row r="14" spans="1:3" x14ac:dyDescent="0.3">
      <c r="A14" s="11" t="s">
        <v>57</v>
      </c>
      <c r="B14" s="103" t="str">
        <f>'Wall Calculator'!$B$6</f>
        <v>This is a test</v>
      </c>
      <c r="C14" s="103"/>
    </row>
    <row r="15" spans="1:3" x14ac:dyDescent="0.3">
      <c r="A15" s="11" t="s">
        <v>58</v>
      </c>
      <c r="B15" s="103" t="str">
        <f>'Wall Calculator'!$B$7</f>
        <v>Washington, DC</v>
      </c>
      <c r="C15" s="103"/>
    </row>
    <row r="16" spans="1:3" x14ac:dyDescent="0.3">
      <c r="A16" s="11"/>
      <c r="B16" s="36"/>
      <c r="C16" s="36"/>
    </row>
    <row r="17" spans="1:6" x14ac:dyDescent="0.3">
      <c r="A17" s="11" t="s">
        <v>181</v>
      </c>
      <c r="B17" s="6"/>
      <c r="C17" s="6"/>
    </row>
    <row r="18" spans="1:6" x14ac:dyDescent="0.3">
      <c r="A18" s="11" t="s">
        <v>182</v>
      </c>
      <c r="B18" s="6"/>
      <c r="C18" s="6"/>
    </row>
    <row r="19" spans="1:6" x14ac:dyDescent="0.3">
      <c r="A19" s="11"/>
      <c r="B19" s="6"/>
      <c r="C19" s="6"/>
    </row>
    <row r="20" spans="1:6" x14ac:dyDescent="0.3">
      <c r="A20" s="40" t="s">
        <v>65</v>
      </c>
      <c r="B20" s="41" t="s">
        <v>66</v>
      </c>
      <c r="C20" s="42" t="s">
        <v>67</v>
      </c>
      <c r="D20" s="38"/>
      <c r="E20" s="38"/>
      <c r="F20" s="39"/>
    </row>
    <row r="21" spans="1:6" x14ac:dyDescent="0.3">
      <c r="A21" s="43" t="s">
        <v>68</v>
      </c>
      <c r="B21" s="44" t="str">
        <f>'Wall Calculator'!B16</f>
        <v>600S162-43</v>
      </c>
      <c r="C21" s="45"/>
      <c r="D21" s="38"/>
      <c r="E21" s="38"/>
      <c r="F21" s="39"/>
    </row>
    <row r="22" spans="1:6" x14ac:dyDescent="0.3">
      <c r="A22" s="43" t="s">
        <v>69</v>
      </c>
      <c r="B22" s="46">
        <f>'Wall Calculator'!B17</f>
        <v>16</v>
      </c>
      <c r="C22" s="47" t="s">
        <v>19</v>
      </c>
      <c r="D22" s="38"/>
      <c r="E22" s="38"/>
      <c r="F22" s="39"/>
    </row>
    <row r="23" spans="1:6" ht="15" x14ac:dyDescent="0.35">
      <c r="A23" s="43" t="s">
        <v>82</v>
      </c>
      <c r="B23" s="46">
        <f>'Wall Calculator'!B20</f>
        <v>1.625</v>
      </c>
      <c r="C23" s="47" t="s">
        <v>19</v>
      </c>
      <c r="D23" s="38"/>
      <c r="E23" s="38"/>
      <c r="F23" s="39"/>
    </row>
    <row r="24" spans="1:6" x14ac:dyDescent="0.3">
      <c r="A24" s="48" t="s">
        <v>71</v>
      </c>
      <c r="B24" s="46">
        <f>'Wall Calculator'!B19</f>
        <v>6</v>
      </c>
      <c r="C24" s="47" t="s">
        <v>19</v>
      </c>
      <c r="D24" s="38"/>
      <c r="E24" s="38"/>
      <c r="F24" s="39"/>
    </row>
    <row r="25" spans="1:6" x14ac:dyDescent="0.3">
      <c r="A25" s="43" t="s">
        <v>183</v>
      </c>
      <c r="B25" s="89">
        <f>'Wall Calculator'!B18</f>
        <v>33</v>
      </c>
      <c r="C25" s="47" t="s">
        <v>19</v>
      </c>
      <c r="D25" s="38"/>
      <c r="E25" s="38"/>
      <c r="F25" s="39"/>
    </row>
    <row r="26" spans="1:6" x14ac:dyDescent="0.3">
      <c r="A26" s="43" t="s">
        <v>70</v>
      </c>
      <c r="B26" s="46">
        <f>'Wall Calculator'!B23</f>
        <v>381</v>
      </c>
      <c r="C26" s="49" t="s">
        <v>52</v>
      </c>
      <c r="D26" s="38"/>
      <c r="E26" s="38"/>
      <c r="F26" s="39"/>
    </row>
    <row r="27" spans="1:6" ht="27.6" x14ac:dyDescent="0.3">
      <c r="A27" s="50" t="s">
        <v>184</v>
      </c>
      <c r="B27" s="41" t="s">
        <v>66</v>
      </c>
      <c r="C27" s="42" t="s">
        <v>67</v>
      </c>
      <c r="D27" s="38"/>
      <c r="E27" s="38"/>
      <c r="F27" s="39"/>
    </row>
    <row r="28" spans="1:6" ht="15" x14ac:dyDescent="0.35">
      <c r="A28" s="43" t="s">
        <v>72</v>
      </c>
      <c r="B28" s="46">
        <f>'Wall Calculator'!B24</f>
        <v>0.17</v>
      </c>
      <c r="C28" s="49" t="s">
        <v>44</v>
      </c>
      <c r="D28" s="38"/>
      <c r="E28" s="38"/>
      <c r="F28" s="39"/>
    </row>
    <row r="29" spans="1:6" ht="15" x14ac:dyDescent="0.35">
      <c r="A29" s="43" t="s">
        <v>73</v>
      </c>
      <c r="B29" s="46">
        <f>'Wall Calculator'!B25</f>
        <v>7.0000000000000007E-2</v>
      </c>
      <c r="C29" s="49" t="s">
        <v>44</v>
      </c>
      <c r="D29" s="38"/>
      <c r="E29" s="38"/>
      <c r="F29" s="39"/>
    </row>
    <row r="30" spans="1:6" ht="15" x14ac:dyDescent="0.35">
      <c r="A30" s="43" t="s">
        <v>74</v>
      </c>
      <c r="B30" s="46">
        <f>'Wall Calculator'!B26</f>
        <v>6</v>
      </c>
      <c r="C30" s="49" t="s">
        <v>44</v>
      </c>
      <c r="D30" s="38"/>
      <c r="E30" s="38"/>
      <c r="F30" s="39"/>
    </row>
    <row r="31" spans="1:6" ht="15" x14ac:dyDescent="0.35">
      <c r="A31" s="43" t="s">
        <v>185</v>
      </c>
      <c r="B31" s="46">
        <f>'Wall Calculator'!$B$25</f>
        <v>7.0000000000000007E-2</v>
      </c>
      <c r="C31" s="49" t="s">
        <v>44</v>
      </c>
      <c r="D31" s="38"/>
      <c r="E31" s="38"/>
      <c r="F31" s="39"/>
    </row>
    <row r="32" spans="1:6" ht="15" x14ac:dyDescent="0.35">
      <c r="A32" s="43" t="s">
        <v>75</v>
      </c>
      <c r="B32" s="46">
        <f>'Wall Calculator'!$B$28</f>
        <v>19</v>
      </c>
      <c r="C32" s="49" t="s">
        <v>44</v>
      </c>
      <c r="D32" s="38"/>
      <c r="E32" s="38"/>
      <c r="F32" s="39"/>
    </row>
    <row r="33" spans="1:6" ht="27.45" customHeight="1" x14ac:dyDescent="0.35">
      <c r="A33" s="48" t="s">
        <v>76</v>
      </c>
      <c r="B33" s="46">
        <f>'Wall Calculator'!$B$21</f>
        <v>6</v>
      </c>
      <c r="C33" s="49" t="s">
        <v>19</v>
      </c>
      <c r="D33" s="38"/>
      <c r="E33" s="38"/>
      <c r="F33" s="39"/>
    </row>
    <row r="34" spans="1:6" ht="15" x14ac:dyDescent="0.35">
      <c r="A34" s="43" t="s">
        <v>77</v>
      </c>
      <c r="B34" s="46">
        <f>'Wall Calculator'!B29</f>
        <v>0</v>
      </c>
      <c r="C34" s="49" t="s">
        <v>44</v>
      </c>
      <c r="D34" s="38"/>
      <c r="E34" s="38"/>
      <c r="F34" s="39"/>
    </row>
    <row r="35" spans="1:6" ht="15.45" customHeight="1" x14ac:dyDescent="0.35">
      <c r="A35" s="48" t="s">
        <v>78</v>
      </c>
      <c r="B35" s="46">
        <f>'Wall Calculator'!B22</f>
        <v>0</v>
      </c>
      <c r="C35" s="49" t="s">
        <v>19</v>
      </c>
      <c r="D35" s="38"/>
      <c r="E35" s="38"/>
      <c r="F35" s="39"/>
    </row>
    <row r="36" spans="1:6" ht="15" x14ac:dyDescent="0.35">
      <c r="A36" s="43" t="s">
        <v>186</v>
      </c>
      <c r="B36" s="46">
        <f>'Wall Calculator'!B31</f>
        <v>0.56000000000000005</v>
      </c>
      <c r="C36" s="49" t="s">
        <v>44</v>
      </c>
      <c r="D36" s="38"/>
      <c r="E36" s="38"/>
      <c r="F36" s="39"/>
    </row>
    <row r="37" spans="1:6" ht="15" x14ac:dyDescent="0.35">
      <c r="A37" s="43" t="s">
        <v>79</v>
      </c>
      <c r="B37" s="46">
        <f>'Wall Calculator'!B32</f>
        <v>0.68</v>
      </c>
      <c r="C37" s="49" t="s">
        <v>44</v>
      </c>
      <c r="D37" s="38"/>
      <c r="E37" s="38"/>
      <c r="F37" s="39"/>
    </row>
    <row r="38" spans="1:6" x14ac:dyDescent="0.3">
      <c r="A38" s="46"/>
      <c r="B38" s="46"/>
      <c r="C38" s="45"/>
      <c r="D38" s="38"/>
      <c r="E38" s="38"/>
      <c r="F38" s="39"/>
    </row>
    <row r="39" spans="1:6" x14ac:dyDescent="0.3">
      <c r="A39" s="40" t="s">
        <v>80</v>
      </c>
      <c r="B39" s="46"/>
      <c r="C39" s="45"/>
      <c r="D39" s="38"/>
      <c r="E39" s="38"/>
      <c r="F39" s="39"/>
    </row>
    <row r="40" spans="1:6" ht="15.6" x14ac:dyDescent="0.35">
      <c r="A40" s="46" t="s">
        <v>81</v>
      </c>
      <c r="B40" s="90">
        <f>'Wall Calculator'!B59</f>
        <v>5.5950571474270835E-2</v>
      </c>
      <c r="C40" s="49" t="s">
        <v>52</v>
      </c>
      <c r="D40" s="38"/>
      <c r="E40" s="38"/>
      <c r="F40" s="39"/>
    </row>
    <row r="43" spans="1:6" x14ac:dyDescent="0.3">
      <c r="B43" t="s">
        <v>40</v>
      </c>
    </row>
  </sheetData>
  <sheetProtection algorithmName="SHA-512" hashValue="nXAC1dic53WkC6D/4IC6fpqq1V9erMGwW+LWcCuKO3Q3+1YWXn1M2mTQpRLpHMf63cenu/zx6lX5aaURze6F7g==" saltValue="nvvpS6CP+oyHiS+7RuurKA==" spinCount="100000" sheet="1" objects="1" scenarios="1"/>
  <mergeCells count="5">
    <mergeCell ref="B11:C11"/>
    <mergeCell ref="B12:C12"/>
    <mergeCell ref="B13:C13"/>
    <mergeCell ref="B14:C14"/>
    <mergeCell ref="B15:C1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F4CCF-BD54-4247-9A89-B0010BEFFCBC}">
  <dimension ref="A1:K41"/>
  <sheetViews>
    <sheetView topLeftCell="A4" workbookViewId="0">
      <selection activeCell="B27" sqref="B27"/>
    </sheetView>
  </sheetViews>
  <sheetFormatPr defaultColWidth="8.77734375" defaultRowHeight="14.4" x14ac:dyDescent="0.3"/>
  <cols>
    <col min="1" max="1" width="34.21875" customWidth="1"/>
    <col min="2" max="2" width="30.21875" customWidth="1"/>
    <col min="4" max="4" width="16.21875" customWidth="1"/>
  </cols>
  <sheetData>
    <row r="1" spans="1:11" ht="15" x14ac:dyDescent="0.35">
      <c r="A1" s="4" t="s">
        <v>187</v>
      </c>
    </row>
    <row r="2" spans="1:11" ht="15" x14ac:dyDescent="0.35">
      <c r="A2" s="4"/>
    </row>
    <row r="3" spans="1:11" x14ac:dyDescent="0.3">
      <c r="A3" s="11"/>
      <c r="B3" s="99"/>
      <c r="C3" s="99"/>
      <c r="K3" s="3"/>
    </row>
    <row r="4" spans="1:11" x14ac:dyDescent="0.3">
      <c r="A4" s="11"/>
      <c r="B4" s="99"/>
      <c r="C4" s="99"/>
      <c r="K4" s="3"/>
    </row>
    <row r="5" spans="1:11" x14ac:dyDescent="0.3">
      <c r="A5" s="11"/>
      <c r="B5" s="99"/>
      <c r="C5" s="99"/>
      <c r="K5" s="3"/>
    </row>
    <row r="6" spans="1:11" x14ac:dyDescent="0.3">
      <c r="A6" s="11"/>
      <c r="B6" s="99"/>
      <c r="C6" s="99"/>
      <c r="K6" s="3"/>
    </row>
    <row r="7" spans="1:11" x14ac:dyDescent="0.3">
      <c r="A7" s="11"/>
      <c r="B7" s="99"/>
      <c r="C7" s="99"/>
      <c r="K7" s="3"/>
    </row>
    <row r="8" spans="1:11" x14ac:dyDescent="0.3">
      <c r="A8" s="11"/>
      <c r="B8" s="99"/>
      <c r="C8" s="99"/>
      <c r="K8" s="3"/>
    </row>
    <row r="9" spans="1:11" x14ac:dyDescent="0.3">
      <c r="A9" s="11"/>
      <c r="B9" s="99"/>
      <c r="C9" s="99"/>
      <c r="K9" s="3"/>
    </row>
    <row r="10" spans="1:11" x14ac:dyDescent="0.3">
      <c r="A10" s="11"/>
      <c r="B10" s="99"/>
      <c r="C10" s="99"/>
      <c r="K10" s="3"/>
    </row>
    <row r="11" spans="1:11" x14ac:dyDescent="0.3">
      <c r="A11" s="11"/>
      <c r="B11" s="99"/>
      <c r="C11" s="99"/>
      <c r="K11" s="3"/>
    </row>
    <row r="12" spans="1:11" s="6" customFormat="1" x14ac:dyDescent="0.3">
      <c r="A12" s="11" t="s">
        <v>54</v>
      </c>
      <c r="B12" s="104">
        <v>44327</v>
      </c>
      <c r="C12" s="105"/>
    </row>
    <row r="13" spans="1:11" s="6" customFormat="1" x14ac:dyDescent="0.3">
      <c r="A13" s="11" t="s">
        <v>55</v>
      </c>
      <c r="B13" s="105" t="s">
        <v>171</v>
      </c>
      <c r="C13" s="105"/>
      <c r="J13" s="91"/>
    </row>
    <row r="14" spans="1:11" s="6" customFormat="1" x14ac:dyDescent="0.3">
      <c r="A14" s="11" t="s">
        <v>56</v>
      </c>
      <c r="B14" s="105" t="s">
        <v>62</v>
      </c>
      <c r="C14" s="105"/>
    </row>
    <row r="15" spans="1:11" s="6" customFormat="1" x14ac:dyDescent="0.3">
      <c r="A15" s="11" t="s">
        <v>57</v>
      </c>
      <c r="B15" s="105" t="s">
        <v>63</v>
      </c>
      <c r="C15" s="105"/>
    </row>
    <row r="16" spans="1:11" x14ac:dyDescent="0.3">
      <c r="A16" s="11" t="s">
        <v>58</v>
      </c>
      <c r="B16" s="105" t="s">
        <v>64</v>
      </c>
      <c r="C16" s="105"/>
      <c r="K16" s="3"/>
    </row>
    <row r="17" spans="1:11" x14ac:dyDescent="0.3">
      <c r="A17" s="11"/>
      <c r="B17" s="99"/>
      <c r="C17" s="99"/>
      <c r="K17" s="3"/>
    </row>
    <row r="18" spans="1:11" ht="15" x14ac:dyDescent="0.35">
      <c r="A18" s="33" t="s">
        <v>188</v>
      </c>
    </row>
    <row r="19" spans="1:11" ht="15" x14ac:dyDescent="0.35">
      <c r="A19" s="33"/>
    </row>
    <row r="20" spans="1:11" ht="15" x14ac:dyDescent="0.35">
      <c r="A20" s="35" t="s">
        <v>84</v>
      </c>
    </row>
    <row r="21" spans="1:11" x14ac:dyDescent="0.3">
      <c r="A21" s="34" t="s">
        <v>43</v>
      </c>
    </row>
    <row r="22" spans="1:11" x14ac:dyDescent="0.3">
      <c r="A22" s="5"/>
    </row>
    <row r="23" spans="1:11" ht="15" x14ac:dyDescent="0.35">
      <c r="A23" s="58" t="s">
        <v>17</v>
      </c>
      <c r="B23" s="41" t="s">
        <v>87</v>
      </c>
      <c r="C23" s="41" t="s">
        <v>67</v>
      </c>
      <c r="D23" s="63" t="s">
        <v>89</v>
      </c>
    </row>
    <row r="24" spans="1:11" ht="32.549999999999997" customHeight="1" x14ac:dyDescent="0.35">
      <c r="A24" s="51" t="s">
        <v>189</v>
      </c>
      <c r="B24" s="53" t="s">
        <v>42</v>
      </c>
      <c r="C24" s="60"/>
      <c r="D24" s="60"/>
    </row>
    <row r="25" spans="1:11" ht="18" customHeight="1" x14ac:dyDescent="0.35">
      <c r="A25" s="51" t="s">
        <v>38</v>
      </c>
      <c r="B25" s="54">
        <v>16</v>
      </c>
      <c r="C25" s="61" t="s">
        <v>19</v>
      </c>
      <c r="D25" s="62" t="str">
        <f>IF(OR(B25=16,B25=24),"OK","Out  Limit")</f>
        <v>OK</v>
      </c>
    </row>
    <row r="26" spans="1:11" ht="18" customHeight="1" x14ac:dyDescent="0.35">
      <c r="A26" s="52" t="s">
        <v>39</v>
      </c>
      <c r="B26" s="55">
        <v>12</v>
      </c>
      <c r="C26" s="61" t="s">
        <v>19</v>
      </c>
      <c r="D26" s="62" t="str">
        <f>IF(OR(AND(B26&gt;=3.5,B26&lt;=4),B26=6,B26=8,B26=10,B26=12),"OK","Out Limit")</f>
        <v>OK</v>
      </c>
    </row>
    <row r="27" spans="1:11" ht="47.55" customHeight="1" x14ac:dyDescent="0.4">
      <c r="A27" s="52" t="s">
        <v>85</v>
      </c>
      <c r="B27" s="55">
        <v>10</v>
      </c>
      <c r="C27" s="61" t="s">
        <v>44</v>
      </c>
      <c r="D27" s="61"/>
    </row>
    <row r="28" spans="1:11" ht="31.5" customHeight="1" x14ac:dyDescent="0.4">
      <c r="A28" s="52" t="s">
        <v>86</v>
      </c>
      <c r="B28" s="55">
        <v>35</v>
      </c>
      <c r="C28" s="61" t="s">
        <v>44</v>
      </c>
      <c r="D28" s="62" t="str">
        <f>IF(AND(B28&gt;=30,B28&lt;=49),"OK","Out Table B4.1-1 Limit")</f>
        <v>OK</v>
      </c>
    </row>
    <row r="29" spans="1:11" ht="35.549999999999997" customHeight="1" x14ac:dyDescent="0.35">
      <c r="A29" s="52" t="s">
        <v>93</v>
      </c>
      <c r="B29" s="51">
        <f>'S250 Tables'!K26</f>
        <v>0.42000000000000004</v>
      </c>
      <c r="C29" s="61"/>
      <c r="D29" s="61"/>
    </row>
    <row r="30" spans="1:11" ht="18" customHeight="1" x14ac:dyDescent="0.35">
      <c r="A30" s="56" t="s">
        <v>80</v>
      </c>
      <c r="B30" s="41" t="s">
        <v>87</v>
      </c>
      <c r="C30" s="41" t="s">
        <v>67</v>
      </c>
      <c r="D30" s="41" t="s">
        <v>88</v>
      </c>
    </row>
    <row r="31" spans="1:11" ht="18" customHeight="1" x14ac:dyDescent="0.4">
      <c r="A31" s="52" t="s">
        <v>47</v>
      </c>
      <c r="B31" s="64">
        <f>1/(B27+B29*B28)</f>
        <v>4.0485829959514164E-2</v>
      </c>
      <c r="C31" s="61" t="s">
        <v>52</v>
      </c>
      <c r="D31" s="61" t="s">
        <v>36</v>
      </c>
    </row>
    <row r="32" spans="1:11" x14ac:dyDescent="0.3">
      <c r="C32" s="6"/>
    </row>
    <row r="33" spans="1:3" x14ac:dyDescent="0.3">
      <c r="A33" s="6"/>
      <c r="C33" s="6"/>
    </row>
    <row r="34" spans="1:3" x14ac:dyDescent="0.3">
      <c r="A34" s="6"/>
      <c r="C34" s="6"/>
    </row>
    <row r="35" spans="1:3" x14ac:dyDescent="0.3">
      <c r="A35" s="6"/>
      <c r="C35" s="6"/>
    </row>
    <row r="36" spans="1:3" x14ac:dyDescent="0.3">
      <c r="A36" s="6"/>
    </row>
    <row r="37" spans="1:3" x14ac:dyDescent="0.3">
      <c r="A37" s="6"/>
      <c r="C37" s="6"/>
    </row>
    <row r="38" spans="1:3" x14ac:dyDescent="0.3">
      <c r="A38" s="6"/>
      <c r="B38" s="1"/>
      <c r="C38" s="6"/>
    </row>
    <row r="39" spans="1:3" x14ac:dyDescent="0.3">
      <c r="A39" s="6"/>
      <c r="B39" s="1"/>
      <c r="C39" s="6"/>
    </row>
    <row r="40" spans="1:3" x14ac:dyDescent="0.3">
      <c r="A40" s="6"/>
      <c r="B40" s="1"/>
      <c r="C40" s="6"/>
    </row>
    <row r="41" spans="1:3" x14ac:dyDescent="0.3">
      <c r="C41" s="6"/>
    </row>
  </sheetData>
  <sheetProtection algorithmName="SHA-512" hashValue="YyOM256eexnudx/ZvdwEy1j993iXFRPsAjmP/EohW8JA6O0cmuqW30bW2oFKW8sBTyjA4KtarWii77BOphGcuw==" saltValue="LMqC22JUV/eG/h+C8pcDqQ==" spinCount="100000" sheet="1" selectLockedCells="1"/>
  <mergeCells count="5">
    <mergeCell ref="B12:C12"/>
    <mergeCell ref="B13:C13"/>
    <mergeCell ref="B14:C14"/>
    <mergeCell ref="B15:C15"/>
    <mergeCell ref="B16:C1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7831-0864-413B-A0AA-16FF7539ED4A}">
  <dimension ref="A1:K30"/>
  <sheetViews>
    <sheetView topLeftCell="A8" workbookViewId="0">
      <selection activeCell="B25" sqref="B25"/>
    </sheetView>
  </sheetViews>
  <sheetFormatPr defaultRowHeight="14.4" x14ac:dyDescent="0.3"/>
  <cols>
    <col min="1" max="1" width="29.21875" customWidth="1"/>
    <col min="2" max="2" width="31.6640625" customWidth="1"/>
    <col min="3" max="3" width="17.21875" customWidth="1"/>
  </cols>
  <sheetData>
    <row r="1" spans="1:11" ht="15" x14ac:dyDescent="0.35">
      <c r="A1" s="4" t="s">
        <v>190</v>
      </c>
    </row>
    <row r="2" spans="1:11" ht="15" x14ac:dyDescent="0.35">
      <c r="A2" s="4"/>
    </row>
    <row r="3" spans="1:11" ht="15" x14ac:dyDescent="0.35">
      <c r="A3" s="4"/>
    </row>
    <row r="4" spans="1:11" ht="15" x14ac:dyDescent="0.35">
      <c r="A4" s="4"/>
    </row>
    <row r="5" spans="1:11" ht="15" x14ac:dyDescent="0.35">
      <c r="A5" s="4"/>
    </row>
    <row r="6" spans="1:11" ht="15" x14ac:dyDescent="0.35">
      <c r="A6" s="4"/>
    </row>
    <row r="7" spans="1:11" ht="15" x14ac:dyDescent="0.35">
      <c r="A7" s="4"/>
    </row>
    <row r="8" spans="1:11" ht="15" x14ac:dyDescent="0.35">
      <c r="A8" s="4"/>
    </row>
    <row r="9" spans="1:11" ht="15" x14ac:dyDescent="0.35">
      <c r="A9" s="4"/>
    </row>
    <row r="10" spans="1:11" ht="15" x14ac:dyDescent="0.35">
      <c r="A10" s="4"/>
    </row>
    <row r="11" spans="1:11" s="6" customFormat="1" x14ac:dyDescent="0.3">
      <c r="A11" s="11" t="s">
        <v>54</v>
      </c>
      <c r="B11" s="100">
        <v>44344</v>
      </c>
      <c r="C11"/>
    </row>
    <row r="12" spans="1:11" s="6" customFormat="1" x14ac:dyDescent="0.3">
      <c r="A12" s="11" t="s">
        <v>55</v>
      </c>
      <c r="B12" s="94" t="s">
        <v>61</v>
      </c>
      <c r="C12"/>
    </row>
    <row r="13" spans="1:11" s="6" customFormat="1" x14ac:dyDescent="0.3">
      <c r="A13" s="11" t="s">
        <v>56</v>
      </c>
      <c r="B13" s="94" t="s">
        <v>62</v>
      </c>
      <c r="C13"/>
    </row>
    <row r="14" spans="1:11" s="6" customFormat="1" x14ac:dyDescent="0.3">
      <c r="A14" s="11" t="s">
        <v>57</v>
      </c>
      <c r="B14" s="94" t="s">
        <v>63</v>
      </c>
      <c r="C14" t="s">
        <v>40</v>
      </c>
    </row>
    <row r="15" spans="1:11" x14ac:dyDescent="0.3">
      <c r="A15" s="11" t="s">
        <v>58</v>
      </c>
      <c r="B15" s="94" t="s">
        <v>64</v>
      </c>
      <c r="K15" s="3"/>
    </row>
    <row r="16" spans="1:11" x14ac:dyDescent="0.3">
      <c r="A16" s="11"/>
      <c r="B16" s="99"/>
      <c r="C16" s="99"/>
      <c r="K16" s="3"/>
    </row>
    <row r="17" spans="1:4" ht="15" x14ac:dyDescent="0.35">
      <c r="A17" s="4"/>
    </row>
    <row r="18" spans="1:4" ht="15" x14ac:dyDescent="0.35">
      <c r="A18" s="33" t="s">
        <v>197</v>
      </c>
    </row>
    <row r="19" spans="1:4" ht="15" x14ac:dyDescent="0.35">
      <c r="A19" s="35" t="s">
        <v>51</v>
      </c>
    </row>
    <row r="20" spans="1:4" x14ac:dyDescent="0.3">
      <c r="A20" s="34" t="s">
        <v>43</v>
      </c>
    </row>
    <row r="21" spans="1:4" x14ac:dyDescent="0.3">
      <c r="A21" s="5"/>
    </row>
    <row r="22" spans="1:4" ht="15" x14ac:dyDescent="0.35">
      <c r="A22" s="58" t="s">
        <v>17</v>
      </c>
      <c r="B22" s="59" t="s">
        <v>94</v>
      </c>
      <c r="C22" s="59" t="s">
        <v>67</v>
      </c>
    </row>
    <row r="23" spans="1:4" ht="32.549999999999997" customHeight="1" x14ac:dyDescent="0.35">
      <c r="A23" s="51" t="s">
        <v>83</v>
      </c>
      <c r="B23" s="53" t="s">
        <v>42</v>
      </c>
      <c r="C23" s="51"/>
      <c r="D23" s="33"/>
    </row>
    <row r="24" spans="1:4" ht="31.5" customHeight="1" x14ac:dyDescent="0.35">
      <c r="A24" s="52" t="s">
        <v>191</v>
      </c>
      <c r="B24" s="55">
        <v>30</v>
      </c>
      <c r="C24" s="67" t="s">
        <v>44</v>
      </c>
      <c r="D24" s="33"/>
    </row>
    <row r="25" spans="1:4" ht="45.45" customHeight="1" x14ac:dyDescent="0.35">
      <c r="A25" s="52" t="s">
        <v>46</v>
      </c>
      <c r="B25" s="54" t="s">
        <v>198</v>
      </c>
      <c r="C25" s="43"/>
      <c r="D25" s="33"/>
    </row>
    <row r="26" spans="1:4" ht="18" customHeight="1" x14ac:dyDescent="0.35">
      <c r="A26" s="81"/>
      <c r="B26" s="57"/>
      <c r="C26" s="82"/>
      <c r="D26" s="33"/>
    </row>
    <row r="27" spans="1:4" ht="18" customHeight="1" x14ac:dyDescent="0.35">
      <c r="A27" s="65" t="s">
        <v>80</v>
      </c>
      <c r="B27" s="51"/>
      <c r="C27" s="43"/>
      <c r="D27" s="33"/>
    </row>
    <row r="28" spans="1:4" ht="18" customHeight="1" x14ac:dyDescent="0.35">
      <c r="A28" s="52" t="s">
        <v>192</v>
      </c>
      <c r="B28" s="51">
        <f>IF(LOWER(B25)="no", 0.33, IF(LOWER(B25)="r-3",4.994, IF(LOWER(B25)="r-5",7.082,0.33)))</f>
        <v>7.0819999999999999</v>
      </c>
      <c r="C28" s="66" t="s">
        <v>52</v>
      </c>
      <c r="D28" s="11" t="s">
        <v>48</v>
      </c>
    </row>
    <row r="29" spans="1:4" ht="18" customHeight="1" x14ac:dyDescent="0.4">
      <c r="A29" s="51" t="s">
        <v>49</v>
      </c>
      <c r="B29" s="64">
        <f>1/(0.864*B24+B28)</f>
        <v>3.0301193867038365E-2</v>
      </c>
      <c r="C29" s="66" t="s">
        <v>52</v>
      </c>
      <c r="D29" s="11" t="s">
        <v>37</v>
      </c>
    </row>
    <row r="30" spans="1:4" x14ac:dyDescent="0.3">
      <c r="C30" s="6"/>
    </row>
  </sheetData>
  <sheetProtection algorithmName="SHA-512" hashValue="jzyiLvwgeDirAUX6h8xn5Tcx25Kr/6Tt84OXCbtV5xxh8FJHOe3L9qqEabxOdTxZCXLFIVjNcxi5xc3tieVZ3Q==" saltValue="ZFDwgs6fHTyP4KipD3mE9g==" spinCount="100000" sheet="1" selectLockedCells="1"/>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E32D-13E6-4379-A59C-8C22F3E42B83}">
  <dimension ref="A1:X51"/>
  <sheetViews>
    <sheetView workbookViewId="0">
      <selection activeCell="M11" sqref="M11"/>
    </sheetView>
  </sheetViews>
  <sheetFormatPr defaultColWidth="8.77734375" defaultRowHeight="14.4" x14ac:dyDescent="0.3"/>
  <cols>
    <col min="1" max="1" width="10.77734375" customWidth="1"/>
    <col min="2" max="2" width="9.77734375" customWidth="1"/>
    <col min="11" max="11" width="14.109375" customWidth="1"/>
    <col min="12" max="12" width="17.5546875" customWidth="1"/>
    <col min="13" max="13" width="12.77734375" customWidth="1"/>
    <col min="18" max="18" width="11.6640625" customWidth="1"/>
  </cols>
  <sheetData>
    <row r="1" spans="1:20" x14ac:dyDescent="0.3">
      <c r="A1" s="106" t="s">
        <v>0</v>
      </c>
      <c r="B1" s="107"/>
      <c r="C1" s="107"/>
      <c r="D1" s="107"/>
      <c r="E1" s="107"/>
      <c r="F1" s="107"/>
      <c r="G1" s="107"/>
      <c r="H1" s="107"/>
      <c r="I1" s="108"/>
      <c r="K1" s="109" t="s">
        <v>9</v>
      </c>
      <c r="L1" s="110"/>
      <c r="M1" s="111"/>
    </row>
    <row r="2" spans="1:20" s="11" customFormat="1" ht="43.5" customHeight="1" x14ac:dyDescent="0.35">
      <c r="A2" s="7" t="s">
        <v>1</v>
      </c>
      <c r="B2" s="8" t="s">
        <v>2</v>
      </c>
      <c r="C2" s="8"/>
      <c r="D2" s="9" t="s">
        <v>3</v>
      </c>
      <c r="E2" s="9" t="s">
        <v>4</v>
      </c>
      <c r="F2" s="9" t="s">
        <v>5</v>
      </c>
      <c r="G2" s="9" t="s">
        <v>6</v>
      </c>
      <c r="H2" s="9" t="s">
        <v>7</v>
      </c>
      <c r="I2" s="10" t="s">
        <v>8</v>
      </c>
      <c r="K2" s="12" t="s">
        <v>10</v>
      </c>
      <c r="L2" s="13"/>
      <c r="M2" s="14" t="s">
        <v>11</v>
      </c>
    </row>
    <row r="3" spans="1:20" x14ac:dyDescent="0.3">
      <c r="A3" s="15">
        <v>6</v>
      </c>
      <c r="B3">
        <v>33</v>
      </c>
      <c r="D3">
        <v>1.8583000000000001</v>
      </c>
      <c r="E3">
        <v>7.4779999999999999E-2</v>
      </c>
      <c r="F3">
        <v>0.14879999999999999</v>
      </c>
      <c r="G3">
        <v>-1.859E-3</v>
      </c>
      <c r="H3">
        <v>-5.1029999999999999E-3</v>
      </c>
      <c r="I3" s="16">
        <v>2.013E-3</v>
      </c>
      <c r="K3" s="15">
        <v>33</v>
      </c>
      <c r="M3" s="16">
        <v>381</v>
      </c>
    </row>
    <row r="4" spans="1:20" x14ac:dyDescent="0.3">
      <c r="A4" s="15">
        <v>6</v>
      </c>
      <c r="B4">
        <v>43</v>
      </c>
      <c r="D4">
        <v>1.9825999999999999</v>
      </c>
      <c r="E4">
        <v>7.3599999999999999E-2</v>
      </c>
      <c r="F4">
        <v>0.15010000000000001</v>
      </c>
      <c r="G4">
        <v>-1.8159999999999999E-3</v>
      </c>
      <c r="H4">
        <v>-5.3140000000000001E-3</v>
      </c>
      <c r="I4" s="16">
        <v>2.1489999999999999E-3</v>
      </c>
      <c r="K4" s="15">
        <v>43</v>
      </c>
      <c r="M4" s="16">
        <v>495</v>
      </c>
    </row>
    <row r="5" spans="1:20" x14ac:dyDescent="0.3">
      <c r="A5" s="15">
        <v>6</v>
      </c>
      <c r="B5">
        <v>54</v>
      </c>
      <c r="D5">
        <v>2.0813999999999999</v>
      </c>
      <c r="E5">
        <v>7.1309999999999998E-2</v>
      </c>
      <c r="F5">
        <v>0.1522</v>
      </c>
      <c r="G5">
        <v>-1.7129999999999999E-3</v>
      </c>
      <c r="H5">
        <v>-5.2950000000000002E-3</v>
      </c>
      <c r="I5" s="16">
        <v>2.0500000000000002E-3</v>
      </c>
      <c r="K5" s="15">
        <v>54</v>
      </c>
      <c r="M5" s="16">
        <v>622</v>
      </c>
    </row>
    <row r="6" spans="1:20" x14ac:dyDescent="0.3">
      <c r="A6" s="15">
        <v>6</v>
      </c>
      <c r="B6">
        <v>68</v>
      </c>
      <c r="D6">
        <v>2.2109999999999999</v>
      </c>
      <c r="E6">
        <v>6.8159999999999998E-2</v>
      </c>
      <c r="F6">
        <v>0.15079999999999999</v>
      </c>
      <c r="G6">
        <v>-1.652E-3</v>
      </c>
      <c r="H6">
        <v>-5.5760000000000002E-3</v>
      </c>
      <c r="I6" s="16">
        <v>2.3E-3</v>
      </c>
      <c r="K6" s="17">
        <v>68</v>
      </c>
      <c r="L6" s="2"/>
      <c r="M6" s="18">
        <v>783</v>
      </c>
    </row>
    <row r="7" spans="1:20" x14ac:dyDescent="0.3">
      <c r="A7" s="15">
        <v>12</v>
      </c>
      <c r="B7">
        <v>33</v>
      </c>
      <c r="D7">
        <v>2.1583999999999999</v>
      </c>
      <c r="E7">
        <v>5.1180000000000003E-2</v>
      </c>
      <c r="F7">
        <v>0.2079</v>
      </c>
      <c r="G7">
        <v>-1.384E-3</v>
      </c>
      <c r="H7">
        <v>-5.3670000000000002E-3</v>
      </c>
      <c r="I7" s="16">
        <v>2.2529999999999998E-3</v>
      </c>
    </row>
    <row r="8" spans="1:20" x14ac:dyDescent="0.3">
      <c r="A8" s="15">
        <v>12</v>
      </c>
      <c r="B8">
        <v>43</v>
      </c>
      <c r="D8">
        <v>2.2077</v>
      </c>
      <c r="E8">
        <v>6.3810000000000006E-2</v>
      </c>
      <c r="F8">
        <v>0.19919999999999999</v>
      </c>
      <c r="G8">
        <v>-1.7129999999999999E-3</v>
      </c>
      <c r="H8">
        <v>-6.2350000000000001E-3</v>
      </c>
      <c r="I8" s="16">
        <v>3.4989999999999999E-3</v>
      </c>
    </row>
    <row r="9" spans="1:20" x14ac:dyDescent="0.3">
      <c r="A9" s="15">
        <v>12</v>
      </c>
      <c r="B9">
        <v>54</v>
      </c>
      <c r="D9">
        <v>2.2974000000000001</v>
      </c>
      <c r="E9">
        <v>6.4390000000000003E-2</v>
      </c>
      <c r="F9">
        <v>0.20430000000000001</v>
      </c>
      <c r="G9">
        <v>-1.686E-3</v>
      </c>
      <c r="H9">
        <v>-6.9080000000000001E-3</v>
      </c>
      <c r="I9" s="16">
        <v>3.9430000000000003E-3</v>
      </c>
      <c r="K9" t="s">
        <v>194</v>
      </c>
      <c r="M9" t="s">
        <v>167</v>
      </c>
      <c r="N9">
        <f>'Wall Calculator'!B18</f>
        <v>33</v>
      </c>
    </row>
    <row r="10" spans="1:20" x14ac:dyDescent="0.3">
      <c r="A10" s="15">
        <v>12</v>
      </c>
      <c r="B10">
        <v>68</v>
      </c>
      <c r="D10">
        <v>2.4136000000000002</v>
      </c>
      <c r="E10">
        <v>5.185E-2</v>
      </c>
      <c r="F10">
        <v>0.21659999999999999</v>
      </c>
      <c r="G10">
        <v>-1.2160000000000001E-3</v>
      </c>
      <c r="H10">
        <v>-6.8399999999999997E-3</v>
      </c>
      <c r="I10" s="16">
        <v>3.748E-3</v>
      </c>
      <c r="K10" t="s">
        <v>165</v>
      </c>
      <c r="L10" s="6" t="s">
        <v>183</v>
      </c>
      <c r="M10" t="s">
        <v>166</v>
      </c>
      <c r="N10" t="s">
        <v>132</v>
      </c>
      <c r="O10" t="s">
        <v>133</v>
      </c>
      <c r="P10" t="s">
        <v>134</v>
      </c>
      <c r="Q10" t="s">
        <v>135</v>
      </c>
      <c r="R10" t="s">
        <v>136</v>
      </c>
      <c r="S10" t="s">
        <v>137</v>
      </c>
    </row>
    <row r="11" spans="1:20" x14ac:dyDescent="0.3">
      <c r="A11" s="15">
        <v>16</v>
      </c>
      <c r="B11">
        <v>33</v>
      </c>
      <c r="D11">
        <v>2.2770999999999999</v>
      </c>
      <c r="E11">
        <v>3.8429999999999999E-2</v>
      </c>
      <c r="F11">
        <v>0.19639999999999999</v>
      </c>
      <c r="G11">
        <v>-1.1410000000000001E-3</v>
      </c>
      <c r="H11">
        <v>-5.2370000000000003E-3</v>
      </c>
      <c r="I11" s="16">
        <v>3.1970000000000002E-3</v>
      </c>
      <c r="K11" cm="1">
        <f t="array" ref="K11:S14">IF('Wall Calculator'!$B$17=6,'S250 Tables'!A3:I6,IF('Wall Calculator'!$B$17=12,A7:I10,IF('Wall Calculator'!$B$17=16,A11:I14,IF('Wall Calculator'!$B$17=24,A15:I18, "error"))))</f>
        <v>16</v>
      </c>
      <c r="L11">
        <v>33</v>
      </c>
      <c r="M11">
        <v>0</v>
      </c>
      <c r="N11">
        <v>2.2770999999999999</v>
      </c>
      <c r="O11">
        <v>3.8429999999999999E-2</v>
      </c>
      <c r="P11">
        <v>0.19639999999999999</v>
      </c>
      <c r="Q11">
        <v>-1.1410000000000001E-3</v>
      </c>
      <c r="R11">
        <v>-5.2370000000000003E-3</v>
      </c>
      <c r="S11">
        <v>3.1970000000000002E-3</v>
      </c>
    </row>
    <row r="12" spans="1:20" x14ac:dyDescent="0.3">
      <c r="A12" s="15">
        <v>16</v>
      </c>
      <c r="B12">
        <v>43</v>
      </c>
      <c r="D12">
        <v>2.3769</v>
      </c>
      <c r="E12">
        <v>4.0370000000000003E-2</v>
      </c>
      <c r="F12">
        <v>0.2011</v>
      </c>
      <c r="G12">
        <v>-1.1950000000000001E-3</v>
      </c>
      <c r="H12">
        <v>-5.6769999999999998E-3</v>
      </c>
      <c r="I12" s="16">
        <v>3.7139999999999999E-3</v>
      </c>
      <c r="K12">
        <v>16</v>
      </c>
      <c r="L12">
        <v>43</v>
      </c>
      <c r="M12">
        <v>0</v>
      </c>
      <c r="N12">
        <v>2.3769</v>
      </c>
      <c r="O12">
        <v>4.0370000000000003E-2</v>
      </c>
      <c r="P12">
        <v>0.2011</v>
      </c>
      <c r="Q12">
        <v>-1.1950000000000001E-3</v>
      </c>
      <c r="R12">
        <v>-5.6769999999999998E-3</v>
      </c>
      <c r="S12">
        <v>3.7139999999999999E-3</v>
      </c>
    </row>
    <row r="13" spans="1:20" x14ac:dyDescent="0.3">
      <c r="A13" s="15">
        <v>16</v>
      </c>
      <c r="B13">
        <v>54</v>
      </c>
      <c r="D13">
        <v>2.4944999999999999</v>
      </c>
      <c r="E13">
        <v>4.0890000000000003E-2</v>
      </c>
      <c r="F13">
        <v>0.1996</v>
      </c>
      <c r="G13">
        <v>-1.1609999999999999E-3</v>
      </c>
      <c r="H13">
        <v>-5.7190000000000001E-3</v>
      </c>
      <c r="I13" s="16">
        <v>3.9269999999999999E-3</v>
      </c>
      <c r="K13">
        <v>16</v>
      </c>
      <c r="L13">
        <v>54</v>
      </c>
      <c r="M13">
        <v>0</v>
      </c>
      <c r="N13">
        <v>2.4944999999999999</v>
      </c>
      <c r="O13">
        <v>4.0890000000000003E-2</v>
      </c>
      <c r="P13">
        <v>0.1996</v>
      </c>
      <c r="Q13">
        <v>-1.1609999999999999E-3</v>
      </c>
      <c r="R13">
        <v>-5.7190000000000001E-3</v>
      </c>
      <c r="S13">
        <v>3.9269999999999999E-3</v>
      </c>
    </row>
    <row r="14" spans="1:20" x14ac:dyDescent="0.3">
      <c r="A14" s="15">
        <v>16</v>
      </c>
      <c r="B14">
        <v>68</v>
      </c>
      <c r="D14">
        <v>2.5916999999999999</v>
      </c>
      <c r="E14">
        <v>4.614E-2</v>
      </c>
      <c r="F14">
        <v>0.19220000000000001</v>
      </c>
      <c r="G14">
        <v>-1.3910000000000001E-3</v>
      </c>
      <c r="H14">
        <v>-5.8840000000000003E-3</v>
      </c>
      <c r="I14" s="16">
        <v>4.6059999999999999E-3</v>
      </c>
      <c r="K14">
        <v>16</v>
      </c>
      <c r="L14">
        <v>68</v>
      </c>
      <c r="M14">
        <v>0</v>
      </c>
      <c r="N14">
        <v>2.5916999999999999</v>
      </c>
      <c r="O14">
        <v>4.614E-2</v>
      </c>
      <c r="P14">
        <v>0.19220000000000001</v>
      </c>
      <c r="Q14">
        <v>-1.3910000000000001E-3</v>
      </c>
      <c r="R14">
        <v>-5.8840000000000003E-3</v>
      </c>
      <c r="S14">
        <v>4.6059999999999999E-3</v>
      </c>
    </row>
    <row r="15" spans="1:20" x14ac:dyDescent="0.3">
      <c r="A15" s="15">
        <v>24</v>
      </c>
      <c r="B15">
        <v>33</v>
      </c>
      <c r="D15">
        <v>3.1819999999999999</v>
      </c>
      <c r="E15">
        <v>-2.946E-2</v>
      </c>
      <c r="F15">
        <v>0.2432</v>
      </c>
      <c r="G15">
        <v>0</v>
      </c>
      <c r="H15">
        <v>-7.5199999999999998E-3</v>
      </c>
      <c r="I15" s="16">
        <v>3.5720000000000001E-3</v>
      </c>
    </row>
    <row r="16" spans="1:20" x14ac:dyDescent="0.3">
      <c r="A16" s="15">
        <v>24</v>
      </c>
      <c r="B16">
        <v>43</v>
      </c>
      <c r="D16">
        <v>2.7509999999999999</v>
      </c>
      <c r="E16">
        <v>1.2800000000000001E-2</v>
      </c>
      <c r="F16">
        <v>0.19650000000000001</v>
      </c>
      <c r="G16">
        <v>-7.3999999999999999E-4</v>
      </c>
      <c r="H16">
        <v>-6.7089999999999997E-3</v>
      </c>
      <c r="I16" s="16">
        <v>5.169E-3</v>
      </c>
      <c r="K16" t="s">
        <v>195</v>
      </c>
      <c r="L16" t="str">
        <f>IF(OR((N9=33),(N9=43),(N9=54),(N9=L14)),"NO", "YES")</f>
        <v>NO</v>
      </c>
      <c r="M16" t="s">
        <v>168</v>
      </c>
      <c r="N16">
        <f>IF(L16="NO", N9,IF(AND((N9&lt;=L12),(N9&gt;=L11)),L11,IF(AND((N9&lt;=L13),(N9&gt;=L12)),L12,IF(AND((N9&lt;=L14),(N9&gt;=L13)),L13,IF(N9&lt;L11,L11,"error")))))</f>
        <v>33</v>
      </c>
      <c r="O16" t="s">
        <v>169</v>
      </c>
      <c r="P16">
        <f>IF(L16="NO", N9, IF(N9&lt;L11,L11,IF(N9&lt;L12,L12,IF(N9&lt;=L13,L13,IF(N9&lt;=L14,L14,"error")))))</f>
        <v>33</v>
      </c>
      <c r="T16" t="s">
        <v>170</v>
      </c>
    </row>
    <row r="17" spans="1:20" x14ac:dyDescent="0.3">
      <c r="A17" s="15">
        <v>24</v>
      </c>
      <c r="B17">
        <v>54</v>
      </c>
      <c r="D17">
        <v>2.5720000000000001</v>
      </c>
      <c r="E17">
        <v>4.2599999999999999E-3</v>
      </c>
      <c r="F17">
        <v>0.22850000000000001</v>
      </c>
      <c r="G17">
        <v>0</v>
      </c>
      <c r="H17">
        <v>-6.1000000000000004E-3</v>
      </c>
      <c r="I17" s="16">
        <v>3.509E-3</v>
      </c>
      <c r="M17">
        <f>N16</f>
        <v>33</v>
      </c>
      <c r="N17">
        <f>VLOOKUP($N$16,$L11:$S14,3,FALSE)</f>
        <v>2.2770999999999999</v>
      </c>
      <c r="O17">
        <f>VLOOKUP($N$16,$L11:$S14,4,FALSE)</f>
        <v>3.8429999999999999E-2</v>
      </c>
      <c r="P17">
        <f>VLOOKUP($N$16,$L11:$S14,5,FALSE)</f>
        <v>0.19639999999999999</v>
      </c>
      <c r="Q17">
        <f>VLOOKUP($N$16,$L11:$S14,6,FALSE)</f>
        <v>-1.1410000000000001E-3</v>
      </c>
      <c r="R17">
        <f>VLOOKUP($N$16,$L11:$S14,7,FALSE)</f>
        <v>-5.2370000000000003E-3</v>
      </c>
      <c r="S17">
        <f>VLOOKUP($N$16,$L11:$S14,8,FALSE)</f>
        <v>3.1970000000000002E-3</v>
      </c>
      <c r="T17">
        <f>VLOOKUP($N$16,$K$3:$M$6,3,FALSE)</f>
        <v>381</v>
      </c>
    </row>
    <row r="18" spans="1:20" x14ac:dyDescent="0.3">
      <c r="A18" s="17">
        <v>24</v>
      </c>
      <c r="B18" s="2">
        <v>68</v>
      </c>
      <c r="C18" s="2"/>
      <c r="D18" s="2">
        <v>2.9359999999999999</v>
      </c>
      <c r="E18" s="2">
        <v>-3.2399999999999998E-3</v>
      </c>
      <c r="F18" s="2">
        <v>0.22559999999999999</v>
      </c>
      <c r="G18" s="2">
        <v>0</v>
      </c>
      <c r="H18" s="2">
        <v>-6.43E-3</v>
      </c>
      <c r="I18" s="18">
        <v>4.1900000000000001E-3</v>
      </c>
      <c r="M18">
        <f>P16</f>
        <v>33</v>
      </c>
      <c r="N18">
        <f>VLOOKUP($P$16,$L11:$S14,3,FALSE)</f>
        <v>2.2770999999999999</v>
      </c>
      <c r="O18">
        <f>VLOOKUP($P$16,$L11:$S14,4,FALSE)</f>
        <v>3.8429999999999999E-2</v>
      </c>
      <c r="P18">
        <f>VLOOKUP($P$16,$L11:$S14,5,FALSE)</f>
        <v>0.19639999999999999</v>
      </c>
      <c r="Q18">
        <f>VLOOKUP($P$16,$L11:$S14,6,FALSE)</f>
        <v>-1.1410000000000001E-3</v>
      </c>
      <c r="R18">
        <f>VLOOKUP($P$16,$L11:$S14,7,FALSE)</f>
        <v>-5.2370000000000003E-3</v>
      </c>
      <c r="S18">
        <f>VLOOKUP($P$16,$L11:$S14,8,FALSE)</f>
        <v>3.1970000000000002E-3</v>
      </c>
      <c r="T18">
        <f>VLOOKUP($P$16,$K$3:$M$6,3,FALSE)</f>
        <v>381</v>
      </c>
    </row>
    <row r="19" spans="1:20" x14ac:dyDescent="0.3">
      <c r="M19">
        <f>N9</f>
        <v>33</v>
      </c>
      <c r="N19">
        <f>IF(OR(($L$16="NO"), ($N$9&lt;33)), N17,(N18-N17)/($M$18-$M$17)*($M$19-$M$17)+N17)</f>
        <v>2.2770999999999999</v>
      </c>
      <c r="O19">
        <f t="shared" ref="O19:T19" si="0">IF(OR(($L$16="NO"), ($N$9&lt;33)), O17,(O18-O17)/($M$18-$M$17)*($M$19-$M$17)+O17)</f>
        <v>3.8429999999999999E-2</v>
      </c>
      <c r="P19">
        <f t="shared" si="0"/>
        <v>0.19639999999999999</v>
      </c>
      <c r="Q19">
        <f t="shared" si="0"/>
        <v>-1.1410000000000001E-3</v>
      </c>
      <c r="R19">
        <f t="shared" si="0"/>
        <v>-5.2370000000000003E-3</v>
      </c>
      <c r="S19">
        <f t="shared" si="0"/>
        <v>3.1970000000000002E-3</v>
      </c>
      <c r="T19">
        <f t="shared" si="0"/>
        <v>381</v>
      </c>
    </row>
    <row r="20" spans="1:20" ht="27.45" customHeight="1" x14ac:dyDescent="0.3">
      <c r="A20" s="112" t="s">
        <v>12</v>
      </c>
      <c r="B20" s="113"/>
      <c r="C20" s="113"/>
      <c r="D20" s="113"/>
      <c r="E20" s="114"/>
    </row>
    <row r="21" spans="1:20" ht="33" customHeight="1" x14ac:dyDescent="0.3">
      <c r="A21" s="19"/>
      <c r="B21" s="20"/>
      <c r="C21" s="115" t="s">
        <v>13</v>
      </c>
      <c r="D21" s="115"/>
      <c r="E21" s="116"/>
      <c r="G21" t="s">
        <v>193</v>
      </c>
    </row>
    <row r="22" spans="1:20" ht="28.8" x14ac:dyDescent="0.3">
      <c r="A22" s="21" t="s">
        <v>15</v>
      </c>
      <c r="B22" s="95" t="s">
        <v>14</v>
      </c>
      <c r="C22" s="36">
        <v>30</v>
      </c>
      <c r="D22" s="36">
        <v>38</v>
      </c>
      <c r="E22" s="22">
        <v>49</v>
      </c>
      <c r="G22" s="83" t="s">
        <v>91</v>
      </c>
      <c r="H22" s="84">
        <v>30</v>
      </c>
      <c r="I22" s="84">
        <v>38</v>
      </c>
      <c r="J22" s="84">
        <v>49</v>
      </c>
      <c r="K22" s="85">
        <f>'Conventional Roof Calculator'!B28</f>
        <v>35</v>
      </c>
    </row>
    <row r="23" spans="1:20" x14ac:dyDescent="0.3">
      <c r="A23" s="23" t="s">
        <v>16</v>
      </c>
      <c r="B23">
        <v>16</v>
      </c>
      <c r="C23" s="24">
        <v>0.94</v>
      </c>
      <c r="D23" s="24">
        <v>0.95</v>
      </c>
      <c r="E23" s="25">
        <v>0.96</v>
      </c>
      <c r="G23" s="15" t="s">
        <v>90</v>
      </c>
      <c r="H23">
        <f>IF('Conventional Roof Calculator'!B26&lt;=4, 'S250 Tables'!C23, VLOOKUP('Conventional Roof Calculator'!B26,'S250 Tables'!A23:E27,3,FALSE))</f>
        <v>0.27</v>
      </c>
      <c r="I23">
        <f>IF('Conventional Roof Calculator'!B26&lt;=4, 'S250 Tables'!D23, VLOOKUP('Conventional Roof Calculator'!B26,'S250 Tables'!A23:E27,4,FALSE))</f>
        <v>0.51</v>
      </c>
      <c r="J23">
        <f>IF('Conventional Roof Calculator'!B26&lt;=4, 'S250 Tables'!E23, VLOOKUP('Conventional Roof Calculator'!B26,'S250 Tables'!A23:E27,5,FALSE))</f>
        <v>0.62</v>
      </c>
      <c r="K23" s="16"/>
    </row>
    <row r="24" spans="1:20" x14ac:dyDescent="0.3">
      <c r="A24" s="23">
        <v>6</v>
      </c>
      <c r="B24">
        <v>16</v>
      </c>
      <c r="C24" s="24">
        <v>0.81</v>
      </c>
      <c r="D24" s="24">
        <v>0.85</v>
      </c>
      <c r="E24" s="25">
        <v>0.88</v>
      </c>
      <c r="G24" s="15" t="s">
        <v>92</v>
      </c>
      <c r="H24">
        <f>IF('Conventional Roof Calculator'!B26&lt;=4, 'S250 Tables'!C28, VLOOKUP('Conventional Roof Calculator'!B26,'S250 Tables'!A28:E32,3,FALSE))</f>
        <v>0.35</v>
      </c>
      <c r="I24">
        <f>IF('Conventional Roof Calculator'!B26&lt;=4, 'S250 Tables'!D28, VLOOKUP('Conventional Roof Calculator'!B26,'S250 Tables'!A28:E32,4,FALSE))</f>
        <v>0.61</v>
      </c>
      <c r="J24">
        <f>IF('Conventional Roof Calculator'!B26&lt;=4, 'S250 Tables'!E28, VLOOKUP('Conventional Roof Calculator'!B26,'S250 Tables'!A28:E32,5,FALSE))</f>
        <v>0.69</v>
      </c>
      <c r="K24" s="16"/>
    </row>
    <row r="25" spans="1:20" x14ac:dyDescent="0.3">
      <c r="A25" s="23">
        <v>8</v>
      </c>
      <c r="B25">
        <v>16</v>
      </c>
      <c r="C25" s="24">
        <v>0.65</v>
      </c>
      <c r="D25" s="24">
        <v>0.72</v>
      </c>
      <c r="E25" s="25">
        <v>0.78</v>
      </c>
      <c r="G25" s="15"/>
      <c r="K25" s="16"/>
    </row>
    <row r="26" spans="1:20" x14ac:dyDescent="0.3">
      <c r="A26" s="23">
        <v>10</v>
      </c>
      <c r="B26">
        <v>16</v>
      </c>
      <c r="C26" s="24">
        <v>0.27</v>
      </c>
      <c r="D26" s="24">
        <v>0.62</v>
      </c>
      <c r="E26" s="25">
        <v>0.7</v>
      </c>
      <c r="G26" s="17">
        <f>'Conventional Roof Calculator'!B25</f>
        <v>16</v>
      </c>
      <c r="H26" s="2">
        <f>IF($G$26=16,H23,IF($G$26=24,H24,0))</f>
        <v>0.27</v>
      </c>
      <c r="I26" s="2">
        <f>IF($G$26=16,I23,IF($G$26=24,I24,0))</f>
        <v>0.51</v>
      </c>
      <c r="J26" s="2">
        <f>IF($G$26=16,J23,IF($G$26=24,J24,0))</f>
        <v>0.62</v>
      </c>
      <c r="K26" s="86">
        <f>IF(AND(K22&gt;=H22,K22&lt;=I22),(I26-H26)/(I22-H22)*(K22-H22)+H26,IF(AND(K22&gt;I22,K22&lt;=J22),(J26-I26)/(J22-I22)*(J22-K22)+I26,0))</f>
        <v>0.42000000000000004</v>
      </c>
    </row>
    <row r="27" spans="1:20" x14ac:dyDescent="0.3">
      <c r="A27" s="26">
        <v>12</v>
      </c>
      <c r="B27" s="2">
        <v>16</v>
      </c>
      <c r="C27" s="27">
        <v>0.27</v>
      </c>
      <c r="D27" s="27">
        <v>0.51</v>
      </c>
      <c r="E27" s="28">
        <v>0.62</v>
      </c>
    </row>
    <row r="28" spans="1:20" x14ac:dyDescent="0.3">
      <c r="A28" s="23" t="s">
        <v>16</v>
      </c>
      <c r="B28">
        <v>24</v>
      </c>
      <c r="C28" s="24">
        <v>0.96</v>
      </c>
      <c r="D28" s="24">
        <v>0.97</v>
      </c>
      <c r="E28" s="25">
        <v>0.97</v>
      </c>
    </row>
    <row r="29" spans="1:20" x14ac:dyDescent="0.3">
      <c r="A29" s="23">
        <v>6</v>
      </c>
      <c r="B29">
        <v>24</v>
      </c>
      <c r="C29" s="24">
        <v>0.86</v>
      </c>
      <c r="D29" s="24">
        <v>0.88</v>
      </c>
      <c r="E29" s="25">
        <v>0.91</v>
      </c>
    </row>
    <row r="30" spans="1:20" x14ac:dyDescent="0.3">
      <c r="A30" s="23">
        <v>8</v>
      </c>
      <c r="B30">
        <v>24</v>
      </c>
      <c r="C30" s="24">
        <v>0.72</v>
      </c>
      <c r="D30" s="24">
        <v>0.78</v>
      </c>
      <c r="E30" s="25">
        <v>0.83</v>
      </c>
    </row>
    <row r="31" spans="1:20" x14ac:dyDescent="0.3">
      <c r="A31" s="23">
        <v>10</v>
      </c>
      <c r="B31">
        <v>24</v>
      </c>
      <c r="C31" s="24">
        <v>0.35</v>
      </c>
      <c r="D31" s="24">
        <v>0.69</v>
      </c>
      <c r="E31" s="25">
        <v>0.76</v>
      </c>
    </row>
    <row r="32" spans="1:20" x14ac:dyDescent="0.3">
      <c r="A32" s="26">
        <v>12</v>
      </c>
      <c r="B32" s="2">
        <v>24</v>
      </c>
      <c r="C32" s="27">
        <v>0.35</v>
      </c>
      <c r="D32" s="27">
        <v>0.61</v>
      </c>
      <c r="E32" s="28">
        <v>0.69</v>
      </c>
    </row>
    <row r="34" spans="1:24" x14ac:dyDescent="0.3">
      <c r="A34" s="11"/>
      <c r="B34" s="11"/>
      <c r="C34" s="11"/>
      <c r="D34" s="11"/>
      <c r="E34" s="11"/>
      <c r="F34" s="11"/>
      <c r="G34" s="11"/>
      <c r="H34" s="11"/>
      <c r="I34" s="11"/>
      <c r="J34" s="11"/>
      <c r="K34" s="11"/>
      <c r="L34" s="11"/>
      <c r="M34" s="11"/>
    </row>
    <row r="35" spans="1:24" x14ac:dyDescent="0.3">
      <c r="A35" s="29"/>
      <c r="B35" s="11"/>
      <c r="C35" s="11"/>
      <c r="D35" s="11"/>
      <c r="E35" s="11"/>
      <c r="F35" s="11"/>
      <c r="G35" s="11"/>
      <c r="H35" s="11"/>
      <c r="I35" s="11"/>
      <c r="J35" s="11"/>
      <c r="K35" s="11"/>
      <c r="L35" s="11"/>
      <c r="M35" s="11"/>
    </row>
    <row r="36" spans="1:24" x14ac:dyDescent="0.3">
      <c r="A36" s="30"/>
      <c r="B36" s="24"/>
      <c r="C36" s="24"/>
      <c r="D36" s="24"/>
      <c r="E36" s="24"/>
      <c r="F36" s="24"/>
      <c r="G36" s="24"/>
      <c r="H36" s="24"/>
      <c r="I36" s="24"/>
      <c r="J36" s="24"/>
      <c r="K36" s="31"/>
      <c r="L36" s="24"/>
      <c r="M36" s="24"/>
      <c r="N36" s="24"/>
      <c r="O36" s="24"/>
      <c r="P36" s="24"/>
      <c r="Q36" s="24"/>
      <c r="R36" s="24"/>
    </row>
    <row r="37" spans="1:24" x14ac:dyDescent="0.3">
      <c r="A37" s="24"/>
      <c r="B37" s="24"/>
      <c r="C37" s="32"/>
      <c r="D37" s="32"/>
      <c r="E37" s="32"/>
      <c r="F37" s="32"/>
      <c r="G37" s="32"/>
      <c r="H37" s="32"/>
      <c r="I37" s="32"/>
      <c r="J37" s="32"/>
      <c r="K37" s="32"/>
      <c r="L37" s="32"/>
      <c r="M37" s="32"/>
      <c r="N37" s="32"/>
      <c r="O37" s="32"/>
      <c r="P37" s="24"/>
      <c r="Q37" s="24"/>
      <c r="R37" s="24"/>
    </row>
    <row r="38" spans="1:24" x14ac:dyDescent="0.3">
      <c r="A38" s="24"/>
      <c r="B38" s="24"/>
      <c r="C38" s="32"/>
      <c r="D38" s="32"/>
      <c r="E38" s="32"/>
      <c r="F38" s="32"/>
      <c r="G38" s="32"/>
      <c r="H38" s="32"/>
      <c r="I38" s="32"/>
      <c r="J38" s="32"/>
      <c r="K38" s="32"/>
      <c r="L38" s="32"/>
      <c r="M38" s="32"/>
      <c r="N38" s="32"/>
      <c r="O38" s="32"/>
      <c r="P38" s="24"/>
      <c r="Q38" s="24"/>
      <c r="R38" s="24"/>
    </row>
    <row r="39" spans="1:24" x14ac:dyDescent="0.3">
      <c r="A39" s="24"/>
      <c r="B39" s="24"/>
      <c r="C39" s="32"/>
      <c r="D39" s="32"/>
      <c r="E39" s="32"/>
      <c r="F39" s="32"/>
      <c r="G39" s="32"/>
      <c r="H39" s="32"/>
      <c r="I39" s="32"/>
      <c r="J39" s="32"/>
      <c r="K39" s="32"/>
      <c r="L39" s="32"/>
      <c r="M39" s="32"/>
      <c r="N39" s="32"/>
      <c r="O39" s="32"/>
      <c r="P39" s="24"/>
      <c r="Q39" s="24"/>
      <c r="R39" s="24"/>
    </row>
    <row r="40" spans="1:24" x14ac:dyDescent="0.3">
      <c r="A40" s="24"/>
      <c r="B40" s="24"/>
      <c r="C40" s="32"/>
      <c r="D40" s="32"/>
      <c r="E40" s="32"/>
      <c r="F40" s="32"/>
      <c r="G40" s="32"/>
      <c r="H40" s="32"/>
      <c r="I40" s="32"/>
      <c r="J40" s="32"/>
      <c r="K40" s="32"/>
      <c r="L40" s="32"/>
      <c r="M40" s="32"/>
      <c r="N40" s="32"/>
      <c r="O40" s="32"/>
      <c r="P40" s="24"/>
      <c r="Q40" s="24"/>
      <c r="R40" s="24"/>
    </row>
    <row r="41" spans="1:24" x14ac:dyDescent="0.3">
      <c r="A41" s="24"/>
      <c r="B41" s="24"/>
      <c r="C41" s="32"/>
      <c r="D41" s="32"/>
      <c r="E41" s="32"/>
      <c r="F41" s="32"/>
      <c r="G41" s="32"/>
      <c r="H41" s="32"/>
      <c r="I41" s="32"/>
      <c r="J41" s="32"/>
      <c r="K41" s="32"/>
      <c r="L41" s="32"/>
      <c r="M41" s="32"/>
      <c r="N41" s="32"/>
      <c r="O41" s="32"/>
      <c r="P41" s="24"/>
      <c r="Q41" s="24"/>
      <c r="R41" s="24"/>
    </row>
    <row r="42" spans="1:24" x14ac:dyDescent="0.3">
      <c r="A42" s="24"/>
      <c r="B42" s="24"/>
      <c r="C42" s="32"/>
      <c r="D42" s="32"/>
      <c r="E42" s="32"/>
      <c r="F42" s="32"/>
      <c r="G42" s="32"/>
      <c r="H42" s="32"/>
      <c r="I42" s="32"/>
      <c r="J42" s="32"/>
      <c r="K42" s="32"/>
      <c r="L42" s="32"/>
      <c r="M42" s="32"/>
      <c r="N42" s="24"/>
      <c r="O42" s="24"/>
      <c r="P42" s="24"/>
      <c r="Q42" s="24"/>
      <c r="R42" s="24"/>
    </row>
    <row r="44" spans="1:24" x14ac:dyDescent="0.3">
      <c r="G44" s="29"/>
      <c r="H44" s="11"/>
      <c r="I44" s="11"/>
      <c r="J44" s="11"/>
      <c r="K44" s="11"/>
      <c r="L44" s="11"/>
      <c r="M44" s="11"/>
      <c r="N44" s="11"/>
      <c r="O44" s="11"/>
      <c r="P44" s="11"/>
      <c r="Q44" s="11"/>
      <c r="R44" s="11"/>
      <c r="S44" s="11"/>
    </row>
    <row r="45" spans="1:24" x14ac:dyDescent="0.3">
      <c r="G45" s="30"/>
      <c r="H45" s="24"/>
      <c r="I45" s="24"/>
      <c r="J45" s="24"/>
      <c r="K45" s="24"/>
      <c r="L45" s="24"/>
      <c r="M45" s="24"/>
      <c r="N45" s="24"/>
      <c r="O45" s="24"/>
      <c r="P45" s="24"/>
      <c r="Q45" s="31"/>
      <c r="R45" s="24"/>
      <c r="S45" s="24"/>
      <c r="T45" s="24"/>
      <c r="U45" s="24"/>
      <c r="V45" s="24"/>
      <c r="W45" s="24"/>
      <c r="X45" s="24"/>
    </row>
    <row r="46" spans="1:24" x14ac:dyDescent="0.3">
      <c r="G46" s="24"/>
      <c r="H46" s="24"/>
      <c r="I46" s="32"/>
      <c r="J46" s="32"/>
      <c r="K46" s="32"/>
      <c r="L46" s="32"/>
      <c r="M46" s="32"/>
      <c r="N46" s="32"/>
      <c r="O46" s="32"/>
      <c r="P46" s="32"/>
      <c r="Q46" s="32"/>
      <c r="R46" s="32"/>
      <c r="S46" s="32"/>
      <c r="T46" s="24"/>
      <c r="U46" s="24"/>
      <c r="V46" s="24"/>
      <c r="W46" s="24"/>
      <c r="X46" s="24"/>
    </row>
    <row r="47" spans="1:24" x14ac:dyDescent="0.3">
      <c r="G47" s="24"/>
      <c r="H47" s="24"/>
      <c r="I47" s="32"/>
      <c r="J47" s="32"/>
      <c r="K47" s="32"/>
      <c r="L47" s="32"/>
      <c r="M47" s="32"/>
      <c r="N47" s="32"/>
      <c r="O47" s="32"/>
      <c r="P47" s="32"/>
      <c r="Q47" s="32"/>
      <c r="R47" s="32"/>
      <c r="S47" s="32"/>
      <c r="T47" s="24"/>
      <c r="U47" s="24"/>
      <c r="V47" s="24"/>
      <c r="W47" s="24"/>
      <c r="X47" s="24"/>
    </row>
    <row r="48" spans="1:24" x14ac:dyDescent="0.3">
      <c r="G48" s="24"/>
      <c r="H48" s="24"/>
      <c r="I48" s="32"/>
      <c r="J48" s="32"/>
      <c r="K48" s="32"/>
      <c r="L48" s="32"/>
      <c r="M48" s="32"/>
      <c r="N48" s="32"/>
      <c r="O48" s="32"/>
      <c r="P48" s="32"/>
      <c r="Q48" s="32"/>
      <c r="R48" s="32"/>
      <c r="S48" s="32"/>
      <c r="T48" s="24"/>
      <c r="U48" s="24"/>
      <c r="V48" s="24"/>
      <c r="W48" s="24"/>
      <c r="X48" s="24"/>
    </row>
    <row r="49" spans="7:24" x14ac:dyDescent="0.3">
      <c r="G49" s="24"/>
      <c r="H49" s="24"/>
      <c r="I49" s="32"/>
      <c r="J49" s="32"/>
      <c r="K49" s="32"/>
      <c r="L49" s="32"/>
      <c r="M49" s="32"/>
      <c r="N49" s="32"/>
      <c r="O49" s="32"/>
      <c r="P49" s="32"/>
      <c r="Q49" s="32"/>
      <c r="R49" s="32"/>
      <c r="S49" s="32"/>
      <c r="T49" s="24"/>
      <c r="U49" s="24"/>
      <c r="V49" s="24"/>
      <c r="W49" s="24"/>
      <c r="X49" s="24"/>
    </row>
    <row r="50" spans="7:24" x14ac:dyDescent="0.3">
      <c r="G50" s="24"/>
      <c r="H50" s="24"/>
      <c r="I50" s="32"/>
      <c r="J50" s="32"/>
      <c r="K50" s="32"/>
      <c r="L50" s="32"/>
      <c r="M50" s="32"/>
      <c r="N50" s="32"/>
      <c r="O50" s="32"/>
      <c r="P50" s="32"/>
      <c r="Q50" s="32"/>
      <c r="R50" s="32"/>
      <c r="S50" s="32"/>
      <c r="T50" s="24"/>
      <c r="U50" s="24"/>
      <c r="V50" s="24"/>
      <c r="W50" s="24"/>
      <c r="X50" s="24"/>
    </row>
    <row r="51" spans="7:24" x14ac:dyDescent="0.3">
      <c r="G51" s="24"/>
      <c r="H51" s="24"/>
      <c r="I51" s="32"/>
      <c r="J51" s="32"/>
      <c r="K51" s="32"/>
      <c r="L51" s="32"/>
      <c r="M51" s="32"/>
      <c r="N51" s="32"/>
      <c r="O51" s="32"/>
      <c r="P51" s="32"/>
      <c r="Q51" s="32"/>
      <c r="R51" s="32"/>
      <c r="S51" s="32"/>
      <c r="T51" s="24"/>
      <c r="U51" s="24"/>
      <c r="V51" s="24"/>
      <c r="W51" s="24"/>
      <c r="X51" s="24"/>
    </row>
  </sheetData>
  <sheetProtection selectLockedCells="1" selectUnlockedCells="1"/>
  <mergeCells count="4">
    <mergeCell ref="A1:I1"/>
    <mergeCell ref="K1:M1"/>
    <mergeCell ref="A20:E20"/>
    <mergeCell ref="C21:E2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3C39-5D9B-4986-99BC-CEA22DB97649}">
  <dimension ref="A1:W21"/>
  <sheetViews>
    <sheetView workbookViewId="0">
      <selection activeCell="K21" sqref="K21"/>
    </sheetView>
  </sheetViews>
  <sheetFormatPr defaultRowHeight="14.4" x14ac:dyDescent="0.3"/>
  <cols>
    <col min="1" max="1" width="10.33203125" customWidth="1"/>
    <col min="3" max="3" width="13" customWidth="1"/>
    <col min="8" max="8" width="11.109375" customWidth="1"/>
  </cols>
  <sheetData>
    <row r="1" spans="1:23" ht="15.6" x14ac:dyDescent="0.35">
      <c r="A1" s="88" t="s">
        <v>141</v>
      </c>
      <c r="B1" s="88">
        <v>1.625</v>
      </c>
      <c r="C1" s="88" t="s">
        <v>128</v>
      </c>
      <c r="D1" s="88"/>
      <c r="E1" s="88"/>
      <c r="F1" s="88"/>
      <c r="G1" s="88"/>
      <c r="H1" s="88"/>
      <c r="I1" s="88"/>
    </row>
    <row r="2" spans="1:23" ht="15.6" x14ac:dyDescent="0.35">
      <c r="A2" s="88" t="s">
        <v>142</v>
      </c>
      <c r="B2" s="88">
        <v>4.2999999999999997E-2</v>
      </c>
      <c r="C2" s="88" t="s">
        <v>128</v>
      </c>
      <c r="D2" s="88" t="s">
        <v>127</v>
      </c>
      <c r="E2" s="88">
        <v>0.17</v>
      </c>
      <c r="F2" s="88" t="s">
        <v>143</v>
      </c>
      <c r="G2" s="88">
        <v>0.56000000000000005</v>
      </c>
      <c r="H2" s="88" t="s">
        <v>157</v>
      </c>
      <c r="I2" s="88">
        <v>0.68</v>
      </c>
      <c r="K2" t="s">
        <v>147</v>
      </c>
      <c r="L2">
        <f>B2/B1</f>
        <v>2.646153846153846E-2</v>
      </c>
    </row>
    <row r="3" spans="1:23" ht="16.8" x14ac:dyDescent="0.35">
      <c r="A3" s="88" t="s">
        <v>126</v>
      </c>
      <c r="B3" s="88">
        <v>495</v>
      </c>
      <c r="C3" s="88" t="s">
        <v>144</v>
      </c>
      <c r="D3" s="88" t="s">
        <v>145</v>
      </c>
      <c r="E3" s="88">
        <v>7.0000000000000007E-2</v>
      </c>
      <c r="F3" s="88" t="s">
        <v>146</v>
      </c>
      <c r="G3" s="88">
        <v>0.56000000000000005</v>
      </c>
      <c r="H3" s="88" t="s">
        <v>153</v>
      </c>
      <c r="I3" s="88">
        <v>0.91</v>
      </c>
    </row>
    <row r="4" spans="1:23" x14ac:dyDescent="0.3">
      <c r="A4" t="s">
        <v>124</v>
      </c>
      <c r="D4">
        <v>16</v>
      </c>
      <c r="E4" t="s">
        <v>19</v>
      </c>
    </row>
    <row r="5" spans="1:23" ht="15.6" x14ac:dyDescent="0.35">
      <c r="R5" t="s">
        <v>156</v>
      </c>
      <c r="S5">
        <v>4</v>
      </c>
    </row>
    <row r="6" spans="1:23" ht="15.6" x14ac:dyDescent="0.35">
      <c r="A6" t="s">
        <v>138</v>
      </c>
      <c r="B6" t="s">
        <v>132</v>
      </c>
      <c r="C6" t="s">
        <v>133</v>
      </c>
      <c r="D6" t="s">
        <v>134</v>
      </c>
      <c r="E6" t="s">
        <v>135</v>
      </c>
      <c r="F6" t="s">
        <v>136</v>
      </c>
      <c r="G6" t="s">
        <v>137</v>
      </c>
      <c r="H6" t="s">
        <v>129</v>
      </c>
      <c r="I6" t="s">
        <v>125</v>
      </c>
      <c r="J6" t="s">
        <v>130</v>
      </c>
      <c r="K6" t="s">
        <v>140</v>
      </c>
      <c r="L6" t="s">
        <v>131</v>
      </c>
      <c r="M6" t="s">
        <v>148</v>
      </c>
      <c r="N6" t="s">
        <v>150</v>
      </c>
      <c r="O6" t="s">
        <v>151</v>
      </c>
      <c r="P6" t="s">
        <v>152</v>
      </c>
      <c r="Q6" t="s">
        <v>154</v>
      </c>
      <c r="R6" t="s">
        <v>155</v>
      </c>
      <c r="S6" t="s">
        <v>159</v>
      </c>
      <c r="T6" t="s">
        <v>158</v>
      </c>
      <c r="U6" t="s">
        <v>149</v>
      </c>
      <c r="V6" t="s">
        <v>160</v>
      </c>
      <c r="W6" t="s">
        <v>161</v>
      </c>
    </row>
    <row r="7" spans="1:23" x14ac:dyDescent="0.3">
      <c r="A7">
        <v>16</v>
      </c>
      <c r="B7">
        <f t="shared" ref="B7:G7" si="0">IF($A7=16,D$20, D$21)</f>
        <v>2.3769</v>
      </c>
      <c r="C7">
        <f t="shared" si="0"/>
        <v>4.0370000000000003E-2</v>
      </c>
      <c r="D7">
        <f t="shared" si="0"/>
        <v>0.2011</v>
      </c>
      <c r="E7">
        <f t="shared" si="0"/>
        <v>-1.1950000000000001E-3</v>
      </c>
      <c r="F7">
        <f t="shared" si="0"/>
        <v>-5.6769999999999998E-3</v>
      </c>
      <c r="G7">
        <f t="shared" si="0"/>
        <v>3.7139999999999999E-3</v>
      </c>
      <c r="H7">
        <v>3.5</v>
      </c>
      <c r="I7">
        <v>0</v>
      </c>
      <c r="J7">
        <f>H7-I7</f>
        <v>3.5</v>
      </c>
      <c r="K7">
        <v>0</v>
      </c>
      <c r="L7">
        <f>IF(I7=0,$I$3,K7)</f>
        <v>0.91</v>
      </c>
      <c r="M7">
        <f t="shared" ref="M7:M12" si="1">I7/$B$3</f>
        <v>0</v>
      </c>
      <c r="N7">
        <f>IF(I7=0,0,(1-$L$2)/K7+$L$2/M7)</f>
        <v>0</v>
      </c>
      <c r="O7">
        <f>IF(N7=0,0,1/N7)</f>
        <v>0</v>
      </c>
      <c r="P7">
        <f>IF(J7=0,0,(1-$L$2)/$I$3+$L$2/(J7/$B$3))</f>
        <v>4.8122400676246819</v>
      </c>
      <c r="Q7">
        <f>IF(P7=0,0,1/P7)</f>
        <v>0.20780343165497961</v>
      </c>
      <c r="R7">
        <f>O7+Q7</f>
        <v>0.20780343165497961</v>
      </c>
      <c r="S7">
        <f>$E$2+$E$3+S$5+$G$2+R7+$G$3+$I$2</f>
        <v>6.2478034316549795</v>
      </c>
      <c r="T7">
        <f>IF(J7=0, $E$2+$E$3+S$5+$G$2+K7+$G$3+$I$2,$E$2+$E$3+S$5+$G$2+K7+$I$3+$G$3+$I$2)</f>
        <v>6.9500000000000011</v>
      </c>
      <c r="U7">
        <f t="shared" ref="U7:U12" si="2">B7+C7*L7+D7*S$5+E7*L7^2+F7*S$5^2+G7*L7*S$5</f>
        <v>3.1397340804999998</v>
      </c>
      <c r="V7">
        <f>U7/A7</f>
        <v>0.19623338003124999</v>
      </c>
      <c r="W7" s="87">
        <f>(1-V7)/T7+V7/S7</f>
        <v>0.14705825268608</v>
      </c>
    </row>
    <row r="8" spans="1:23" x14ac:dyDescent="0.3">
      <c r="A8">
        <v>16</v>
      </c>
      <c r="B8">
        <f t="shared" ref="B8:B12" si="3">IF($A8=16,D$20, D$21)</f>
        <v>2.3769</v>
      </c>
      <c r="C8">
        <f t="shared" ref="C8:C12" si="4">IF($A8=16,E$20, E$21)</f>
        <v>4.0370000000000003E-2</v>
      </c>
      <c r="D8">
        <f t="shared" ref="D8:D12" si="5">IF($A8=16,F$20, F$21)</f>
        <v>0.2011</v>
      </c>
      <c r="E8">
        <f t="shared" ref="E8:E12" si="6">IF($A8=16,G$20, G$21)</f>
        <v>-1.1950000000000001E-3</v>
      </c>
      <c r="F8">
        <f t="shared" ref="F8:F12" si="7">IF($A8=16,H$20, H$21)</f>
        <v>-5.6769999999999998E-3</v>
      </c>
      <c r="G8">
        <f t="shared" ref="G8:G12" si="8">IF($A8=16,I$20, I$21)</f>
        <v>3.7139999999999999E-3</v>
      </c>
      <c r="H8">
        <v>3.5</v>
      </c>
      <c r="I8">
        <f>H8</f>
        <v>3.5</v>
      </c>
      <c r="J8">
        <f t="shared" ref="J8:J12" si="9">H8-I8</f>
        <v>0</v>
      </c>
      <c r="K8">
        <v>13</v>
      </c>
      <c r="L8">
        <f t="shared" ref="L8:L12" si="10">IF(I8=0,$I$3,K8)</f>
        <v>13</v>
      </c>
      <c r="M8">
        <f t="shared" si="1"/>
        <v>7.0707070707070711E-3</v>
      </c>
      <c r="N8">
        <f t="shared" ref="N8:N12" si="11">IF(I8=0,0,(1-$L$2)/K8+$L$2/M8)</f>
        <v>3.817305156382079</v>
      </c>
      <c r="O8">
        <f t="shared" ref="O8:O12" si="12">IF(N8=0,0,1/N8)</f>
        <v>0.26196490954570906</v>
      </c>
      <c r="P8">
        <f t="shared" ref="P8:P12" si="13">IF(J8=0,0,(1-$L$2)/$I$3+$L$2/(J8/$B$3))</f>
        <v>0</v>
      </c>
      <c r="Q8">
        <f t="shared" ref="Q8:Q12" si="14">IF(P8=0,0,1/P8)</f>
        <v>0</v>
      </c>
      <c r="R8">
        <f t="shared" ref="R8:R12" si="15">O8+Q8</f>
        <v>0.26196490954570906</v>
      </c>
      <c r="S8">
        <f t="shared" ref="S8:S12" si="16">$E$2+$E$3+S$5+$G$2+R8+$G$3+$I$2</f>
        <v>6.3019649095457098</v>
      </c>
      <c r="T8">
        <f>IF(J8=0, $E$2+$E$3+S$5+$G$2+K8+$G$3+$I$2,$E$2+$E$3+S$5+$G$2+K8+$I$3+$G$3+$I$2)</f>
        <v>19.04</v>
      </c>
      <c r="U8">
        <f t="shared" si="2"/>
        <v>3.6064510000000003</v>
      </c>
      <c r="V8">
        <f t="shared" ref="V8:V12" si="17">U8/A8</f>
        <v>0.22540318750000002</v>
      </c>
      <c r="W8" s="87">
        <f t="shared" ref="W8:W12" si="18">(1-V8)/T8+V8/S8</f>
        <v>7.644973400458796E-2</v>
      </c>
    </row>
    <row r="9" spans="1:23" x14ac:dyDescent="0.3">
      <c r="A9">
        <v>16</v>
      </c>
      <c r="B9">
        <f t="shared" si="3"/>
        <v>2.3769</v>
      </c>
      <c r="C9">
        <f t="shared" si="4"/>
        <v>4.0370000000000003E-2</v>
      </c>
      <c r="D9">
        <f t="shared" si="5"/>
        <v>0.2011</v>
      </c>
      <c r="E9">
        <f t="shared" si="6"/>
        <v>-1.1950000000000001E-3</v>
      </c>
      <c r="F9">
        <f t="shared" si="7"/>
        <v>-5.6769999999999998E-3</v>
      </c>
      <c r="G9">
        <f t="shared" si="8"/>
        <v>3.7139999999999999E-3</v>
      </c>
      <c r="H9">
        <v>3.5</v>
      </c>
      <c r="I9">
        <f t="shared" ref="I9:I12" si="19">H9</f>
        <v>3.5</v>
      </c>
      <c r="J9">
        <f t="shared" si="9"/>
        <v>0</v>
      </c>
      <c r="K9">
        <v>15</v>
      </c>
      <c r="L9">
        <f t="shared" si="10"/>
        <v>15</v>
      </c>
      <c r="M9">
        <f t="shared" si="1"/>
        <v>7.0707070707070711E-3</v>
      </c>
      <c r="N9">
        <f t="shared" si="11"/>
        <v>3.8073201465201461</v>
      </c>
      <c r="O9">
        <f t="shared" si="12"/>
        <v>0.26265193404184578</v>
      </c>
      <c r="P9">
        <f t="shared" si="13"/>
        <v>0</v>
      </c>
      <c r="Q9">
        <f t="shared" si="14"/>
        <v>0</v>
      </c>
      <c r="R9">
        <f t="shared" si="15"/>
        <v>0.26265193404184578</v>
      </c>
      <c r="S9">
        <f t="shared" si="16"/>
        <v>6.3026519340418456</v>
      </c>
      <c r="T9">
        <f t="shared" ref="T9:T12" si="20">IF(J9=0, $E$2+$E$3+S$5+$G$2+K9+$G$3+$I$2,$E$2+$E$3+S$5+$G$2+K9+$I$3+$G$3+$I$2)</f>
        <v>21.04</v>
      </c>
      <c r="U9">
        <f t="shared" si="2"/>
        <v>3.6499830000000006</v>
      </c>
      <c r="V9">
        <f t="shared" si="17"/>
        <v>0.22812393750000004</v>
      </c>
      <c r="W9" s="87">
        <f t="shared" si="18"/>
        <v>7.2881037497260187E-2</v>
      </c>
    </row>
    <row r="10" spans="1:23" x14ac:dyDescent="0.3">
      <c r="A10">
        <v>16</v>
      </c>
      <c r="B10">
        <f t="shared" si="3"/>
        <v>2.3769</v>
      </c>
      <c r="C10">
        <f t="shared" si="4"/>
        <v>4.0370000000000003E-2</v>
      </c>
      <c r="D10">
        <f t="shared" si="5"/>
        <v>0.2011</v>
      </c>
      <c r="E10">
        <f t="shared" si="6"/>
        <v>-1.1950000000000001E-3</v>
      </c>
      <c r="F10">
        <f t="shared" si="7"/>
        <v>-5.6769999999999998E-3</v>
      </c>
      <c r="G10">
        <f t="shared" si="8"/>
        <v>3.7139999999999999E-3</v>
      </c>
      <c r="H10">
        <v>6</v>
      </c>
      <c r="I10">
        <f t="shared" si="19"/>
        <v>6</v>
      </c>
      <c r="J10">
        <f t="shared" si="9"/>
        <v>0</v>
      </c>
      <c r="K10">
        <v>19</v>
      </c>
      <c r="L10">
        <f t="shared" si="10"/>
        <v>19</v>
      </c>
      <c r="M10">
        <f t="shared" si="1"/>
        <v>1.2121212121212121E-2</v>
      </c>
      <c r="N10">
        <f t="shared" si="11"/>
        <v>2.2343157894736843</v>
      </c>
      <c r="O10">
        <f t="shared" si="12"/>
        <v>0.44756430792424384</v>
      </c>
      <c r="P10">
        <f t="shared" si="13"/>
        <v>0</v>
      </c>
      <c r="Q10">
        <f t="shared" si="14"/>
        <v>0</v>
      </c>
      <c r="R10">
        <f t="shared" si="15"/>
        <v>0.44756430792424384</v>
      </c>
      <c r="S10">
        <f t="shared" si="16"/>
        <v>6.4875643079242451</v>
      </c>
      <c r="T10">
        <f t="shared" si="20"/>
        <v>25.04</v>
      </c>
      <c r="U10">
        <f t="shared" si="2"/>
        <v>3.7083670000000004</v>
      </c>
      <c r="V10">
        <f t="shared" si="17"/>
        <v>0.23177293750000003</v>
      </c>
      <c r="W10" s="87">
        <f t="shared" si="18"/>
        <v>6.6405719372414754E-2</v>
      </c>
    </row>
    <row r="11" spans="1:23" x14ac:dyDescent="0.3">
      <c r="A11">
        <v>16</v>
      </c>
      <c r="B11">
        <f t="shared" si="3"/>
        <v>2.3769</v>
      </c>
      <c r="C11">
        <f t="shared" si="4"/>
        <v>4.0370000000000003E-2</v>
      </c>
      <c r="D11">
        <f t="shared" si="5"/>
        <v>0.2011</v>
      </c>
      <c r="E11">
        <f t="shared" si="6"/>
        <v>-1.1950000000000001E-3</v>
      </c>
      <c r="F11">
        <f t="shared" si="7"/>
        <v>-5.6769999999999998E-3</v>
      </c>
      <c r="G11">
        <f t="shared" si="8"/>
        <v>3.7139999999999999E-3</v>
      </c>
      <c r="H11">
        <v>6</v>
      </c>
      <c r="I11">
        <f t="shared" si="19"/>
        <v>6</v>
      </c>
      <c r="J11">
        <f t="shared" si="9"/>
        <v>0</v>
      </c>
      <c r="K11">
        <v>21</v>
      </c>
      <c r="L11">
        <f t="shared" si="10"/>
        <v>21</v>
      </c>
      <c r="M11">
        <f t="shared" si="1"/>
        <v>1.2121212121212121E-2</v>
      </c>
      <c r="N11">
        <f t="shared" si="11"/>
        <v>2.2294358974358977</v>
      </c>
      <c r="O11">
        <f t="shared" si="12"/>
        <v>0.4485439573078161</v>
      </c>
      <c r="P11">
        <f t="shared" si="13"/>
        <v>0</v>
      </c>
      <c r="Q11">
        <f t="shared" si="14"/>
        <v>0</v>
      </c>
      <c r="R11">
        <f t="shared" si="15"/>
        <v>0.4485439573078161</v>
      </c>
      <c r="S11">
        <f t="shared" si="16"/>
        <v>6.488543957307817</v>
      </c>
      <c r="T11">
        <f t="shared" si="20"/>
        <v>27.04</v>
      </c>
      <c r="U11">
        <f t="shared" si="2"/>
        <v>3.7232190000000003</v>
      </c>
      <c r="V11">
        <f t="shared" si="17"/>
        <v>0.23270118750000002</v>
      </c>
      <c r="W11" s="87">
        <f t="shared" si="18"/>
        <v>6.423982614825946E-2</v>
      </c>
    </row>
    <row r="12" spans="1:23" x14ac:dyDescent="0.3">
      <c r="A12">
        <v>16</v>
      </c>
      <c r="B12">
        <f t="shared" si="3"/>
        <v>2.3769</v>
      </c>
      <c r="C12">
        <f t="shared" si="4"/>
        <v>4.0370000000000003E-2</v>
      </c>
      <c r="D12">
        <f t="shared" si="5"/>
        <v>0.2011</v>
      </c>
      <c r="E12">
        <f t="shared" si="6"/>
        <v>-1.1950000000000001E-3</v>
      </c>
      <c r="F12">
        <f t="shared" si="7"/>
        <v>-5.6769999999999998E-3</v>
      </c>
      <c r="G12">
        <f t="shared" si="8"/>
        <v>3.7139999999999999E-3</v>
      </c>
      <c r="H12">
        <v>8</v>
      </c>
      <c r="I12">
        <f t="shared" si="19"/>
        <v>8</v>
      </c>
      <c r="J12">
        <f t="shared" si="9"/>
        <v>0</v>
      </c>
      <c r="K12">
        <v>25</v>
      </c>
      <c r="L12">
        <f t="shared" si="10"/>
        <v>25</v>
      </c>
      <c r="M12">
        <f t="shared" si="1"/>
        <v>1.6161616161616162E-2</v>
      </c>
      <c r="N12">
        <f t="shared" si="11"/>
        <v>1.6762492307692305</v>
      </c>
      <c r="O12">
        <f t="shared" si="12"/>
        <v>0.5965699978523481</v>
      </c>
      <c r="P12">
        <f t="shared" si="13"/>
        <v>0</v>
      </c>
      <c r="Q12">
        <f t="shared" si="14"/>
        <v>0</v>
      </c>
      <c r="R12">
        <f t="shared" si="15"/>
        <v>0.5965699978523481</v>
      </c>
      <c r="S12">
        <f t="shared" si="16"/>
        <v>6.636569997852348</v>
      </c>
      <c r="T12">
        <f t="shared" si="20"/>
        <v>31.04</v>
      </c>
      <c r="U12">
        <f t="shared" si="2"/>
        <v>3.724243</v>
      </c>
      <c r="V12">
        <f t="shared" si="17"/>
        <v>0.2327651875</v>
      </c>
      <c r="W12" s="87">
        <f t="shared" si="18"/>
        <v>5.9790732099291671E-2</v>
      </c>
    </row>
    <row r="19" spans="2:9" x14ac:dyDescent="0.3">
      <c r="B19" t="s">
        <v>138</v>
      </c>
      <c r="C19" t="s">
        <v>139</v>
      </c>
      <c r="D19" t="s">
        <v>132</v>
      </c>
      <c r="E19" t="s">
        <v>133</v>
      </c>
      <c r="F19" t="s">
        <v>134</v>
      </c>
      <c r="G19" t="s">
        <v>135</v>
      </c>
      <c r="H19" t="s">
        <v>136</v>
      </c>
      <c r="I19" t="s">
        <v>137</v>
      </c>
    </row>
    <row r="20" spans="2:9" x14ac:dyDescent="0.3">
      <c r="B20">
        <v>16</v>
      </c>
      <c r="C20">
        <v>43</v>
      </c>
      <c r="D20">
        <v>2.3769</v>
      </c>
      <c r="E20">
        <v>4.0370000000000003E-2</v>
      </c>
      <c r="F20">
        <v>0.2011</v>
      </c>
      <c r="G20">
        <v>-1.1950000000000001E-3</v>
      </c>
      <c r="H20">
        <v>-5.6769999999999998E-3</v>
      </c>
      <c r="I20">
        <v>3.7139999999999999E-3</v>
      </c>
    </row>
    <row r="21" spans="2:9" x14ac:dyDescent="0.3">
      <c r="B21">
        <v>24</v>
      </c>
      <c r="C21">
        <v>43</v>
      </c>
      <c r="D21">
        <v>2.7509999999999999</v>
      </c>
      <c r="E21">
        <v>1.2800000000000001E-2</v>
      </c>
      <c r="F21">
        <v>0.19650000000000001</v>
      </c>
      <c r="G21">
        <v>-7.3999999999999999E-4</v>
      </c>
      <c r="H21">
        <v>-6.7089999999999997E-3</v>
      </c>
      <c r="I21">
        <v>5.169E-3</v>
      </c>
    </row>
  </sheetData>
  <sheetProtection algorithmName="SHA-512" hashValue="r53reIiDphneaSAr1ArdVXKyYbjFocu+d3dEu/P22aEOYQZJr84tN6kfFDrAeucSf+cScdM9muxf4jrNeEV9yA==" saltValue="GSAAZ5Cmxkj3eFVttD3lyg==" spinCount="100000" sheet="1" objects="1" scenarios="1"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F5218626B7B749AB5E3BD20B709DEA" ma:contentTypeVersion="13" ma:contentTypeDescription="Create a new document." ma:contentTypeScope="" ma:versionID="05b85798b6f1bd1743409f9cb3cd6817">
  <xsd:schema xmlns:xsd="http://www.w3.org/2001/XMLSchema" xmlns:xs="http://www.w3.org/2001/XMLSchema" xmlns:p="http://schemas.microsoft.com/office/2006/metadata/properties" xmlns:ns2="b3018735-122d-408c-aa79-c04c6c0619d2" xmlns:ns3="9b673a00-240b-423c-a3ba-f6c79b6702e0" targetNamespace="http://schemas.microsoft.com/office/2006/metadata/properties" ma:root="true" ma:fieldsID="387e3b92047aed7f9bff2908eddbcfbc" ns2:_="" ns3:_="">
    <xsd:import namespace="b3018735-122d-408c-aa79-c04c6c0619d2"/>
    <xsd:import namespace="9b673a00-240b-423c-a3ba-f6c79b6702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18735-122d-408c-aa79-c04c6c0619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b673a00-240b-423c-a3ba-f6c79b6702e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42019E7-4E80-468E-BA08-2F38C185912F}">
  <ds:schemaRefs>
    <ds:schemaRef ds:uri="http://schemas.microsoft.com/sharepoint/v3/contenttype/forms"/>
  </ds:schemaRefs>
</ds:datastoreItem>
</file>

<file path=customXml/itemProps2.xml><?xml version="1.0" encoding="utf-8"?>
<ds:datastoreItem xmlns:ds="http://schemas.openxmlformats.org/officeDocument/2006/customXml" ds:itemID="{705A33D6-46CF-4A8C-BCE3-BD90D6E1F1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18735-122d-408c-aa79-c04c6c0619d2"/>
    <ds:schemaRef ds:uri="9b673a00-240b-423c-a3ba-f6c79b670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B5F880-A846-42F5-88DF-04EF2FBD70D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Wall Calculator</vt:lpstr>
      <vt:lpstr>Print Wall Results</vt:lpstr>
      <vt:lpstr>Conventional Roof Calculator</vt:lpstr>
      <vt:lpstr>Truss Roof Calculator</vt:lpstr>
      <vt:lpstr>S250 Tables</vt:lpstr>
      <vt:lpstr>Appendix 1 Tables</vt:lpstr>
      <vt:lpstr>'Conventional Roof Calculator'!Print_Area</vt:lpstr>
      <vt:lpstr>'Print Wall Results'!Print_Area</vt:lpstr>
      <vt:lpstr>'Truss Roof Calculator'!Print_Area</vt:lpstr>
      <vt:lpstr>'Wall 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Chen</dc:creator>
  <cp:lastModifiedBy>Don Allen - SFIA</cp:lastModifiedBy>
  <cp:lastPrinted>2021-05-25T19:29:58Z</cp:lastPrinted>
  <dcterms:created xsi:type="dcterms:W3CDTF">2021-04-01T14:20:08Z</dcterms:created>
  <dcterms:modified xsi:type="dcterms:W3CDTF">2026-02-18T14:08:10Z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0x010100BCF5218626B7B749AB5E3BD20B709DEA</vt:lpwstr>
  </property>
</Properties>
</file>